
<file path=[Content_Types].xml><?xml version="1.0" encoding="utf-8"?>
<Types xmlns="http://schemas.openxmlformats.org/package/2006/content-types">
  <Default Extension="bin" ContentType="application/vnd.openxmlformats-officedocument.spreadsheetml.printerSettings"/>
  <Default Extension="png" ContentType="image/png"/>
  <Override PartName="/xl/charts/chart6.xml" ContentType="application/vnd.openxmlformats-officedocument.drawingml.chart+xml"/>
  <Override PartName="/xl/charts/chart7.xml" ContentType="application/vnd.openxmlformats-officedocument.drawingml.chart+xml"/>
  <Override PartName="/xl/drawings/drawing9.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omments6.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60" yWindow="-168" windowWidth="9684" windowHeight="4068" tabRatio="792"/>
  </bookViews>
  <sheets>
    <sheet name="Front Page" sheetId="17" r:id="rId1"/>
    <sheet name="Results Summary" sheetId="2" r:id="rId2"/>
    <sheet name="2012 Domestic" sheetId="13" r:id="rId3"/>
    <sheet name="2020 LOS Domestic" sheetId="32" r:id="rId4"/>
    <sheet name="2020 Advanced Domestic" sheetId="30" r:id="rId5"/>
    <sheet name="2020 Waferfall 1" sheetId="33" r:id="rId6"/>
    <sheet name="2020 Waferfall 2" sheetId="34" r:id="rId7"/>
    <sheet name="2020 Waferfall 3" sheetId="36" r:id="rId8"/>
  </sheets>
  <definedNames>
    <definedName name="solver_adj" localSheetId="2" hidden="1">'2012 Domestic'!#REF!</definedName>
    <definedName name="solver_adj" localSheetId="4" hidden="1">'2020 Advanced Domestic'!$F$133</definedName>
    <definedName name="solver_adj" localSheetId="3" hidden="1">'2020 LOS Domestic'!#REF!</definedName>
    <definedName name="solver_adj" localSheetId="5" hidden="1">'2020 Waferfall 1'!#REF!</definedName>
    <definedName name="solver_adj" localSheetId="6" hidden="1">'2020 Waferfall 2'!#REF!</definedName>
    <definedName name="solver_adj" localSheetId="7" hidden="1">'2020 Waferfall 3'!#REF!</definedName>
    <definedName name="solver_adj" localSheetId="1" hidden="1">'Results Summary'!#REF!</definedName>
    <definedName name="solver_cvg" localSheetId="2" hidden="1">0.0001</definedName>
    <definedName name="solver_cvg" localSheetId="4" hidden="1">0.0001</definedName>
    <definedName name="solver_cvg" localSheetId="3" hidden="1">0.0001</definedName>
    <definedName name="solver_cvg" localSheetId="5" hidden="1">0.0001</definedName>
    <definedName name="solver_cvg" localSheetId="6" hidden="1">0.0001</definedName>
    <definedName name="solver_cvg" localSheetId="7" hidden="1">0.0001</definedName>
    <definedName name="solver_cvg" localSheetId="1" hidden="1">0.0001</definedName>
    <definedName name="solver_drv" localSheetId="2" hidden="1">1</definedName>
    <definedName name="solver_drv" localSheetId="4" hidden="1">1</definedName>
    <definedName name="solver_drv" localSheetId="3" hidden="1">1</definedName>
    <definedName name="solver_drv" localSheetId="5" hidden="1">1</definedName>
    <definedName name="solver_drv" localSheetId="6" hidden="1">1</definedName>
    <definedName name="solver_drv" localSheetId="7" hidden="1">1</definedName>
    <definedName name="solver_drv" localSheetId="1" hidden="1">1</definedName>
    <definedName name="solver_est" localSheetId="2" hidden="1">1</definedName>
    <definedName name="solver_est" localSheetId="4" hidden="1">1</definedName>
    <definedName name="solver_est" localSheetId="3" hidden="1">1</definedName>
    <definedName name="solver_est" localSheetId="5" hidden="1">1</definedName>
    <definedName name="solver_est" localSheetId="6" hidden="1">1</definedName>
    <definedName name="solver_est" localSheetId="7" hidden="1">1</definedName>
    <definedName name="solver_est" localSheetId="1" hidden="1">1</definedName>
    <definedName name="solver_itr" localSheetId="2" hidden="1">100</definedName>
    <definedName name="solver_itr" localSheetId="4" hidden="1">100</definedName>
    <definedName name="solver_itr" localSheetId="3" hidden="1">100</definedName>
    <definedName name="solver_itr" localSheetId="5" hidden="1">100</definedName>
    <definedName name="solver_itr" localSheetId="6" hidden="1">100</definedName>
    <definedName name="solver_itr" localSheetId="7" hidden="1">100</definedName>
    <definedName name="solver_itr" localSheetId="1" hidden="1">100</definedName>
    <definedName name="solver_lin" localSheetId="2" hidden="1">2</definedName>
    <definedName name="solver_lin" localSheetId="4" hidden="1">2</definedName>
    <definedName name="solver_lin" localSheetId="3" hidden="1">2</definedName>
    <definedName name="solver_lin" localSheetId="5" hidden="1">2</definedName>
    <definedName name="solver_lin" localSheetId="6" hidden="1">2</definedName>
    <definedName name="solver_lin" localSheetId="7" hidden="1">2</definedName>
    <definedName name="solver_lin" localSheetId="1" hidden="1">2</definedName>
    <definedName name="solver_neg" localSheetId="2" hidden="1">2</definedName>
    <definedName name="solver_neg" localSheetId="4" hidden="1">2</definedName>
    <definedName name="solver_neg" localSheetId="3" hidden="1">2</definedName>
    <definedName name="solver_neg" localSheetId="5" hidden="1">2</definedName>
    <definedName name="solver_neg" localSheetId="6" hidden="1">2</definedName>
    <definedName name="solver_neg" localSheetId="7" hidden="1">2</definedName>
    <definedName name="solver_neg" localSheetId="1" hidden="1">2</definedName>
    <definedName name="solver_num" localSheetId="2" hidden="1">0</definedName>
    <definedName name="solver_num" localSheetId="4" hidden="1">0</definedName>
    <definedName name="solver_num" localSheetId="3" hidden="1">0</definedName>
    <definedName name="solver_num" localSheetId="5" hidden="1">0</definedName>
    <definedName name="solver_num" localSheetId="6" hidden="1">0</definedName>
    <definedName name="solver_num" localSheetId="7" hidden="1">0</definedName>
    <definedName name="solver_num" localSheetId="1" hidden="1">0</definedName>
    <definedName name="solver_nwt" localSheetId="2" hidden="1">1</definedName>
    <definedName name="solver_nwt" localSheetId="4" hidden="1">1</definedName>
    <definedName name="solver_nwt" localSheetId="3" hidden="1">1</definedName>
    <definedName name="solver_nwt" localSheetId="5" hidden="1">1</definedName>
    <definedName name="solver_nwt" localSheetId="6" hidden="1">1</definedName>
    <definedName name="solver_nwt" localSheetId="7" hidden="1">1</definedName>
    <definedName name="solver_nwt" localSheetId="1" hidden="1">1</definedName>
    <definedName name="solver_opt" localSheetId="2" hidden="1">'2012 Domestic'!#REF!</definedName>
    <definedName name="solver_opt" localSheetId="4" hidden="1">'2020 Advanced Domestic'!$F$137</definedName>
    <definedName name="solver_opt" localSheetId="3" hidden="1">'2020 LOS Domestic'!#REF!</definedName>
    <definedName name="solver_opt" localSheetId="5" hidden="1">'2020 Waferfall 1'!#REF!</definedName>
    <definedName name="solver_opt" localSheetId="6" hidden="1">'2020 Waferfall 2'!#REF!</definedName>
    <definedName name="solver_opt" localSheetId="7" hidden="1">'2020 Waferfall 3'!#REF!</definedName>
    <definedName name="solver_opt" localSheetId="1" hidden="1">'Results Summary'!#REF!</definedName>
    <definedName name="solver_pre" localSheetId="2" hidden="1">0.000001</definedName>
    <definedName name="solver_pre" localSheetId="4" hidden="1">0.000001</definedName>
    <definedName name="solver_pre" localSheetId="3" hidden="1">0.000001</definedName>
    <definedName name="solver_pre" localSheetId="5" hidden="1">0.000001</definedName>
    <definedName name="solver_pre" localSheetId="6" hidden="1">0.000001</definedName>
    <definedName name="solver_pre" localSheetId="7" hidden="1">0.000001</definedName>
    <definedName name="solver_pre" localSheetId="1" hidden="1">0.000001</definedName>
    <definedName name="solver_scl" localSheetId="2" hidden="1">2</definedName>
    <definedName name="solver_scl" localSheetId="4" hidden="1">2</definedName>
    <definedName name="solver_scl" localSheetId="3" hidden="1">2</definedName>
    <definedName name="solver_scl" localSheetId="5" hidden="1">2</definedName>
    <definedName name="solver_scl" localSheetId="6" hidden="1">2</definedName>
    <definedName name="solver_scl" localSheetId="7" hidden="1">2</definedName>
    <definedName name="solver_scl" localSheetId="1" hidden="1">2</definedName>
    <definedName name="solver_sho" localSheetId="2" hidden="1">2</definedName>
    <definedName name="solver_sho" localSheetId="4" hidden="1">2</definedName>
    <definedName name="solver_sho" localSheetId="3" hidden="1">2</definedName>
    <definedName name="solver_sho" localSheetId="5" hidden="1">2</definedName>
    <definedName name="solver_sho" localSheetId="6" hidden="1">2</definedName>
    <definedName name="solver_sho" localSheetId="7" hidden="1">2</definedName>
    <definedName name="solver_sho" localSheetId="1" hidden="1">2</definedName>
    <definedName name="solver_tim" localSheetId="2" hidden="1">100</definedName>
    <definedName name="solver_tim" localSheetId="4" hidden="1">100</definedName>
    <definedName name="solver_tim" localSheetId="3" hidden="1">100</definedName>
    <definedName name="solver_tim" localSheetId="5" hidden="1">100</definedName>
    <definedName name="solver_tim" localSheetId="6" hidden="1">100</definedName>
    <definedName name="solver_tim" localSheetId="7" hidden="1">100</definedName>
    <definedName name="solver_tim" localSheetId="1" hidden="1">100</definedName>
    <definedName name="solver_tol" localSheetId="2" hidden="1">0.05</definedName>
    <definedName name="solver_tol" localSheetId="4" hidden="1">0.05</definedName>
    <definedName name="solver_tol" localSheetId="3" hidden="1">0.05</definedName>
    <definedName name="solver_tol" localSheetId="5" hidden="1">0.05</definedName>
    <definedName name="solver_tol" localSheetId="6" hidden="1">0.05</definedName>
    <definedName name="solver_tol" localSheetId="7" hidden="1">0.05</definedName>
    <definedName name="solver_tol" localSheetId="1" hidden="1">0.05</definedName>
    <definedName name="solver_typ" localSheetId="2" hidden="1">3</definedName>
    <definedName name="solver_typ" localSheetId="4" hidden="1">3</definedName>
    <definedName name="solver_typ" localSheetId="3" hidden="1">3</definedName>
    <definedName name="solver_typ" localSheetId="5" hidden="1">3</definedName>
    <definedName name="solver_typ" localSheetId="6" hidden="1">3</definedName>
    <definedName name="solver_typ" localSheetId="7" hidden="1">3</definedName>
    <definedName name="solver_typ" localSheetId="1" hidden="1">3</definedName>
    <definedName name="solver_val" localSheetId="2" hidden="1">0.2</definedName>
    <definedName name="solver_val" localSheetId="4" hidden="1">0.92602944</definedName>
    <definedName name="solver_val" localSheetId="3" hidden="1">0.2</definedName>
    <definedName name="solver_val" localSheetId="5" hidden="1">0.2</definedName>
    <definedName name="solver_val" localSheetId="6" hidden="1">0.2</definedName>
    <definedName name="solver_val" localSheetId="7" hidden="1">0.2</definedName>
    <definedName name="solver_val" localSheetId="1" hidden="1">0.074</definedName>
  </definedNames>
  <calcPr calcId="125725"/>
</workbook>
</file>

<file path=xl/calcChain.xml><?xml version="1.0" encoding="utf-8"?>
<calcChain xmlns="http://schemas.openxmlformats.org/spreadsheetml/2006/main">
  <c r="C137" i="13"/>
  <c r="C56"/>
  <c r="D173" s="1"/>
  <c r="D169" l="1"/>
  <c r="D170"/>
  <c r="D171"/>
  <c r="D168"/>
  <c r="C127" i="36"/>
  <c r="C127" i="34"/>
  <c r="C127" i="30"/>
  <c r="C125" i="36"/>
  <c r="C125" i="34"/>
  <c r="C125" i="30"/>
  <c r="I167" i="2"/>
  <c r="J167"/>
  <c r="K167"/>
  <c r="L167"/>
  <c r="M167"/>
  <c r="N167"/>
  <c r="C108" i="34" l="1"/>
  <c r="C107"/>
  <c r="C106"/>
  <c r="C105"/>
  <c r="C108" i="33"/>
  <c r="C107"/>
  <c r="C106"/>
  <c r="C105"/>
  <c r="C18" i="36"/>
  <c r="C18" i="34"/>
  <c r="C18" i="33"/>
  <c r="C18" i="30"/>
  <c r="C91" i="36"/>
  <c r="C91" i="34"/>
  <c r="C91" i="33"/>
  <c r="C91" i="30"/>
  <c r="C91" i="32"/>
  <c r="B114" i="2"/>
  <c r="B115"/>
  <c r="B116"/>
  <c r="B117"/>
  <c r="B118"/>
  <c r="B119"/>
  <c r="B120"/>
  <c r="B121"/>
  <c r="B122"/>
  <c r="B123"/>
  <c r="B113"/>
  <c r="B112"/>
  <c r="B106"/>
  <c r="B107"/>
  <c r="B108"/>
  <c r="B109"/>
  <c r="B110"/>
  <c r="B111"/>
  <c r="B105"/>
  <c r="B104"/>
  <c r="B98"/>
  <c r="B99"/>
  <c r="B100"/>
  <c r="B101"/>
  <c r="B102"/>
  <c r="B103"/>
  <c r="B97"/>
  <c r="B96"/>
  <c r="C72" i="36"/>
  <c r="G78" s="1"/>
  <c r="H78" s="1"/>
  <c r="C72" i="34"/>
  <c r="C72" i="33"/>
  <c r="C72" i="30"/>
  <c r="C72" i="32"/>
  <c r="C72" i="13"/>
  <c r="F79" i="36"/>
  <c r="E79"/>
  <c r="D79"/>
  <c r="I79" s="1"/>
  <c r="F78"/>
  <c r="E78"/>
  <c r="D78"/>
  <c r="I78" s="1"/>
  <c r="F77"/>
  <c r="E77"/>
  <c r="D77"/>
  <c r="I77" s="1"/>
  <c r="C77"/>
  <c r="F79" i="34"/>
  <c r="E79"/>
  <c r="D79"/>
  <c r="I79" s="1"/>
  <c r="F78"/>
  <c r="E78"/>
  <c r="D78"/>
  <c r="I78" s="1"/>
  <c r="F77"/>
  <c r="E77"/>
  <c r="D77"/>
  <c r="I77" s="1"/>
  <c r="C77"/>
  <c r="F79" i="33"/>
  <c r="E79"/>
  <c r="D79"/>
  <c r="I79" s="1"/>
  <c r="F78"/>
  <c r="E78"/>
  <c r="D78"/>
  <c r="I78" s="1"/>
  <c r="F77"/>
  <c r="E77"/>
  <c r="D77"/>
  <c r="I77" s="1"/>
  <c r="F79" i="30"/>
  <c r="E79"/>
  <c r="F78"/>
  <c r="E78"/>
  <c r="F77"/>
  <c r="E77"/>
  <c r="I79"/>
  <c r="D79"/>
  <c r="D77"/>
  <c r="I77" s="1"/>
  <c r="G77" i="33" l="1"/>
  <c r="H77" s="1"/>
  <c r="G78" i="34"/>
  <c r="H78" s="1"/>
  <c r="K29" s="1"/>
  <c r="G77"/>
  <c r="H77" s="1"/>
  <c r="G79" i="33"/>
  <c r="G78"/>
  <c r="G77" i="36"/>
  <c r="H77" s="1"/>
  <c r="D80"/>
  <c r="G79"/>
  <c r="H79" s="1"/>
  <c r="D80" i="34"/>
  <c r="G79"/>
  <c r="H79" s="1"/>
  <c r="G79" i="30"/>
  <c r="G78"/>
  <c r="G77"/>
  <c r="H80" i="34" l="1"/>
  <c r="H80" i="36"/>
  <c r="C97" i="32"/>
  <c r="F79"/>
  <c r="F78"/>
  <c r="F77"/>
  <c r="E79"/>
  <c r="E78"/>
  <c r="E77"/>
  <c r="D79"/>
  <c r="D78"/>
  <c r="I78" s="1"/>
  <c r="D77"/>
  <c r="I77" s="1"/>
  <c r="C77"/>
  <c r="F79" i="13"/>
  <c r="F78"/>
  <c r="F77"/>
  <c r="E79"/>
  <c r="E78"/>
  <c r="E77"/>
  <c r="I79" i="32" l="1"/>
  <c r="C87"/>
  <c r="D87" s="1"/>
  <c r="C86"/>
  <c r="D86" s="1"/>
  <c r="G77"/>
  <c r="H77" s="1"/>
  <c r="J29" s="1"/>
  <c r="C85"/>
  <c r="D85" s="1"/>
  <c r="G79"/>
  <c r="H79" s="1"/>
  <c r="L29" s="1"/>
  <c r="G78"/>
  <c r="H78" s="1"/>
  <c r="K29" s="1"/>
  <c r="D80"/>
  <c r="U14" i="13"/>
  <c r="C18" i="32"/>
  <c r="C18" i="13"/>
  <c r="H80" i="32" l="1"/>
  <c r="C156" i="13"/>
  <c r="C156" i="30" l="1"/>
  <c r="C158" s="1"/>
  <c r="C162" s="1"/>
  <c r="C161" i="36"/>
  <c r="C158"/>
  <c r="C161" i="34"/>
  <c r="C158"/>
  <c r="C161" i="33"/>
  <c r="C158"/>
  <c r="C161" i="30"/>
  <c r="C161" i="32"/>
  <c r="C158"/>
  <c r="C158" i="13"/>
  <c r="C162" i="34" l="1"/>
  <c r="C162" i="32"/>
  <c r="C162" i="33"/>
  <c r="C162" i="36"/>
  <c r="C161" i="13"/>
  <c r="C162" l="1"/>
  <c r="C108" i="30" l="1"/>
  <c r="C107"/>
  <c r="C108" i="36"/>
  <c r="C107"/>
  <c r="C106"/>
  <c r="U25" i="13" l="1"/>
  <c r="V25" s="1"/>
  <c r="W25" s="1"/>
  <c r="Y25"/>
  <c r="AA25" s="1"/>
  <c r="U26"/>
  <c r="V26" s="1"/>
  <c r="W26" s="1"/>
  <c r="Y26"/>
  <c r="AA26" s="1"/>
  <c r="U27"/>
  <c r="V27" s="1"/>
  <c r="W27" s="1"/>
  <c r="Y27"/>
  <c r="AA27" s="1"/>
  <c r="U28"/>
  <c r="V28" s="1"/>
  <c r="W28" s="1"/>
  <c r="Y28"/>
  <c r="AA28" s="1"/>
  <c r="C186" i="36"/>
  <c r="C182"/>
  <c r="C183" s="1"/>
  <c r="H46" s="1"/>
  <c r="M46" s="1"/>
  <c r="C178"/>
  <c r="C45" s="1"/>
  <c r="C151"/>
  <c r="C138"/>
  <c r="C137"/>
  <c r="C132"/>
  <c r="L32" s="1"/>
  <c r="C131"/>
  <c r="K32" s="1"/>
  <c r="C117"/>
  <c r="C110"/>
  <c r="C105"/>
  <c r="C109" s="1"/>
  <c r="C104"/>
  <c r="C103"/>
  <c r="C92"/>
  <c r="C93" s="1"/>
  <c r="C87"/>
  <c r="C66"/>
  <c r="C62"/>
  <c r="G39" s="1"/>
  <c r="C56"/>
  <c r="C33"/>
  <c r="C186" i="34"/>
  <c r="C182"/>
  <c r="C183" s="1"/>
  <c r="H46" s="1"/>
  <c r="C178"/>
  <c r="C45" s="1"/>
  <c r="C151"/>
  <c r="C138"/>
  <c r="C137"/>
  <c r="C132"/>
  <c r="L32" s="1"/>
  <c r="C131"/>
  <c r="K32" s="1"/>
  <c r="C117"/>
  <c r="C110"/>
  <c r="C104"/>
  <c r="C103"/>
  <c r="C92"/>
  <c r="C93" s="1"/>
  <c r="C85"/>
  <c r="D85" s="1"/>
  <c r="E85" s="1"/>
  <c r="C97"/>
  <c r="C98" s="1"/>
  <c r="C66"/>
  <c r="C62"/>
  <c r="G45" s="1"/>
  <c r="C56"/>
  <c r="C33"/>
  <c r="C186" i="33"/>
  <c r="C182"/>
  <c r="C183" s="1"/>
  <c r="H46" s="1"/>
  <c r="C178"/>
  <c r="C45" s="1"/>
  <c r="C151"/>
  <c r="C138"/>
  <c r="C137"/>
  <c r="C132"/>
  <c r="L32" s="1"/>
  <c r="C131"/>
  <c r="K32" s="1"/>
  <c r="C117"/>
  <c r="C110"/>
  <c r="C104"/>
  <c r="C103"/>
  <c r="C77"/>
  <c r="C97"/>
  <c r="C98" s="1"/>
  <c r="C66"/>
  <c r="C62"/>
  <c r="G35" s="1"/>
  <c r="C56"/>
  <c r="C33"/>
  <c r="E130" i="2"/>
  <c r="F130"/>
  <c r="G130"/>
  <c r="D78" i="30"/>
  <c r="I78" s="1"/>
  <c r="D78" i="13"/>
  <c r="I78" s="1"/>
  <c r="D79"/>
  <c r="I79" s="1"/>
  <c r="D77"/>
  <c r="I77" s="1"/>
  <c r="C105" i="30"/>
  <c r="C106"/>
  <c r="C105" i="32"/>
  <c r="C108"/>
  <c r="C107"/>
  <c r="C106"/>
  <c r="C57" i="36" l="1"/>
  <c r="H40" s="1"/>
  <c r="K40" s="1"/>
  <c r="D169"/>
  <c r="D170"/>
  <c r="D171"/>
  <c r="D173"/>
  <c r="D168"/>
  <c r="D170" i="34"/>
  <c r="E170" s="1"/>
  <c r="D171"/>
  <c r="D173"/>
  <c r="D168"/>
  <c r="D169"/>
  <c r="C57" i="33"/>
  <c r="C126" s="1"/>
  <c r="C130" s="1"/>
  <c r="J32" s="1"/>
  <c r="H32" s="1"/>
  <c r="D171"/>
  <c r="D173"/>
  <c r="D168"/>
  <c r="D169"/>
  <c r="D170"/>
  <c r="C67" i="36"/>
  <c r="C28" s="1"/>
  <c r="C112"/>
  <c r="C115" s="1"/>
  <c r="C119" s="1"/>
  <c r="K31" s="1"/>
  <c r="C152"/>
  <c r="G30"/>
  <c r="G43"/>
  <c r="G41"/>
  <c r="C86"/>
  <c r="D86" s="1"/>
  <c r="E86" s="1"/>
  <c r="G37"/>
  <c r="G37" i="34"/>
  <c r="C152"/>
  <c r="G38"/>
  <c r="C113"/>
  <c r="C116" s="1"/>
  <c r="C120" s="1"/>
  <c r="L31" s="1"/>
  <c r="G30"/>
  <c r="J30" s="1"/>
  <c r="C112" i="33"/>
  <c r="C115" s="1"/>
  <c r="C119" s="1"/>
  <c r="K31" s="1"/>
  <c r="C152"/>
  <c r="G41"/>
  <c r="G34"/>
  <c r="H34" s="1"/>
  <c r="J34" s="1"/>
  <c r="G44"/>
  <c r="G43"/>
  <c r="G35" i="36"/>
  <c r="H35" s="1"/>
  <c r="J35" s="1"/>
  <c r="C97"/>
  <c r="C98" s="1"/>
  <c r="G45"/>
  <c r="C113"/>
  <c r="C116" s="1"/>
  <c r="C120" s="1"/>
  <c r="L31" s="1"/>
  <c r="D87"/>
  <c r="E87" s="1"/>
  <c r="H39"/>
  <c r="L39" s="1"/>
  <c r="C111"/>
  <c r="C114" s="1"/>
  <c r="C118" s="1"/>
  <c r="J31" s="1"/>
  <c r="G39" i="34"/>
  <c r="C109"/>
  <c r="C57"/>
  <c r="H40" s="1"/>
  <c r="K40" s="1"/>
  <c r="G36"/>
  <c r="G35"/>
  <c r="H35" s="1"/>
  <c r="J35" s="1"/>
  <c r="G44"/>
  <c r="G34"/>
  <c r="H34" s="1"/>
  <c r="J34" s="1"/>
  <c r="G43"/>
  <c r="C112"/>
  <c r="C115" s="1"/>
  <c r="C119" s="1"/>
  <c r="K31" s="1"/>
  <c r="G41"/>
  <c r="C86"/>
  <c r="D86" s="1"/>
  <c r="E86" s="1"/>
  <c r="G30" i="33"/>
  <c r="G37"/>
  <c r="C109"/>
  <c r="G36"/>
  <c r="G45"/>
  <c r="C111"/>
  <c r="C114" s="1"/>
  <c r="C118" s="1"/>
  <c r="G39"/>
  <c r="G38"/>
  <c r="C87"/>
  <c r="D87" s="1"/>
  <c r="E87" s="1"/>
  <c r="C113"/>
  <c r="C116" s="1"/>
  <c r="C120" s="1"/>
  <c r="L31" s="1"/>
  <c r="C67"/>
  <c r="C28" s="1"/>
  <c r="G44" i="36"/>
  <c r="C85"/>
  <c r="D85" s="1"/>
  <c r="E85" s="1"/>
  <c r="G34"/>
  <c r="G36"/>
  <c r="G38"/>
  <c r="C67" i="34"/>
  <c r="C28" s="1"/>
  <c r="M46"/>
  <c r="C111"/>
  <c r="C114" s="1"/>
  <c r="C118" s="1"/>
  <c r="C87"/>
  <c r="D87" s="1"/>
  <c r="E87" s="1"/>
  <c r="M46" i="33"/>
  <c r="C86"/>
  <c r="D86" s="1"/>
  <c r="E86" s="1"/>
  <c r="C92"/>
  <c r="C93" s="1"/>
  <c r="H35" s="1"/>
  <c r="D80"/>
  <c r="C85"/>
  <c r="D85" s="1"/>
  <c r="E85" s="1"/>
  <c r="H45" i="36" l="1"/>
  <c r="K45" s="1"/>
  <c r="E169"/>
  <c r="H41" s="1"/>
  <c r="L41" s="1"/>
  <c r="E170"/>
  <c r="H38" s="1"/>
  <c r="H28"/>
  <c r="J28" s="1"/>
  <c r="C126"/>
  <c r="C130" s="1"/>
  <c r="E171"/>
  <c r="C153"/>
  <c r="E173"/>
  <c r="E168"/>
  <c r="C24"/>
  <c r="H33"/>
  <c r="K33" s="1"/>
  <c r="H41" i="34"/>
  <c r="L41" s="1"/>
  <c r="E171"/>
  <c r="H36" s="1"/>
  <c r="L36" s="1"/>
  <c r="E173"/>
  <c r="H43" s="1"/>
  <c r="L43" s="1"/>
  <c r="E168"/>
  <c r="H37" s="1"/>
  <c r="L37" s="1"/>
  <c r="E169"/>
  <c r="C153" i="33"/>
  <c r="H44" s="1"/>
  <c r="L44" s="1"/>
  <c r="E171"/>
  <c r="H36" s="1"/>
  <c r="L36" s="1"/>
  <c r="E173"/>
  <c r="H43" s="1"/>
  <c r="L43" s="1"/>
  <c r="E168"/>
  <c r="H40"/>
  <c r="K40" s="1"/>
  <c r="E169"/>
  <c r="H41" s="1"/>
  <c r="L41" s="1"/>
  <c r="H28"/>
  <c r="J28" s="1"/>
  <c r="C24"/>
  <c r="H45"/>
  <c r="K45" s="1"/>
  <c r="E170"/>
  <c r="H38" s="1"/>
  <c r="L38" s="1"/>
  <c r="H33"/>
  <c r="K33" s="1"/>
  <c r="H37"/>
  <c r="C126" i="34"/>
  <c r="C130" s="1"/>
  <c r="H43" i="36"/>
  <c r="L43" s="1"/>
  <c r="K30"/>
  <c r="H37"/>
  <c r="L37" s="1"/>
  <c r="H34"/>
  <c r="J34" s="1"/>
  <c r="C121"/>
  <c r="H44"/>
  <c r="L44" s="1"/>
  <c r="L30"/>
  <c r="H38" i="34"/>
  <c r="L38" s="1"/>
  <c r="H39"/>
  <c r="L39" s="1"/>
  <c r="H28"/>
  <c r="J28" s="1"/>
  <c r="H45"/>
  <c r="K45" s="1"/>
  <c r="L30"/>
  <c r="K30"/>
  <c r="K30" i="33"/>
  <c r="H36" i="36"/>
  <c r="L36" s="1"/>
  <c r="H33" i="34"/>
  <c r="K33" s="1"/>
  <c r="C153"/>
  <c r="H44" s="1"/>
  <c r="L44" s="1"/>
  <c r="C24"/>
  <c r="H39" i="33"/>
  <c r="L39" s="1"/>
  <c r="L30"/>
  <c r="J29"/>
  <c r="H79"/>
  <c r="L29" s="1"/>
  <c r="J29" i="36"/>
  <c r="L29" i="34"/>
  <c r="C121" i="33"/>
  <c r="C133"/>
  <c r="J31"/>
  <c r="H31" s="1"/>
  <c r="C133" i="36"/>
  <c r="J32"/>
  <c r="H32" s="1"/>
  <c r="H31"/>
  <c r="L29"/>
  <c r="E88"/>
  <c r="J30"/>
  <c r="K29"/>
  <c r="C121" i="34"/>
  <c r="J31"/>
  <c r="E88"/>
  <c r="H78" i="33"/>
  <c r="K29" s="1"/>
  <c r="J35"/>
  <c r="L37"/>
  <c r="J30"/>
  <c r="E88"/>
  <c r="J32" i="34" l="1"/>
  <c r="H32" s="1"/>
  <c r="C133"/>
  <c r="H30"/>
  <c r="H30" i="36"/>
  <c r="H30" i="33"/>
  <c r="H29"/>
  <c r="H29" i="36"/>
  <c r="C140"/>
  <c r="L38"/>
  <c r="J29" i="34"/>
  <c r="H31"/>
  <c r="H80" i="33"/>
  <c r="C140"/>
  <c r="C140" i="34" l="1"/>
  <c r="C141" s="1"/>
  <c r="C144" i="36"/>
  <c r="C141"/>
  <c r="H29" i="34"/>
  <c r="C144" i="33"/>
  <c r="C141"/>
  <c r="C144" i="34" l="1"/>
  <c r="J42" s="1"/>
  <c r="J42" i="36"/>
  <c r="C145"/>
  <c r="K42" s="1"/>
  <c r="K48" s="1"/>
  <c r="C142"/>
  <c r="C146" s="1"/>
  <c r="L42" s="1"/>
  <c r="L48" s="1"/>
  <c r="C145" i="34"/>
  <c r="K42" s="1"/>
  <c r="K48" s="1"/>
  <c r="C142"/>
  <c r="C146" s="1"/>
  <c r="L42" s="1"/>
  <c r="L48" s="1"/>
  <c r="J42" i="33"/>
  <c r="C145"/>
  <c r="K42" s="1"/>
  <c r="K48" s="1"/>
  <c r="C142"/>
  <c r="C146" s="1"/>
  <c r="L42" s="1"/>
  <c r="L48" s="1"/>
  <c r="J48" i="36" l="1"/>
  <c r="C187"/>
  <c r="H47" s="1"/>
  <c r="J48" i="34"/>
  <c r="C187"/>
  <c r="H47" s="1"/>
  <c r="C187" i="33"/>
  <c r="H47" s="1"/>
  <c r="J48"/>
  <c r="M47" i="36" l="1"/>
  <c r="C143"/>
  <c r="C147" s="1"/>
  <c r="M47" i="34"/>
  <c r="C143"/>
  <c r="C147" s="1"/>
  <c r="M47" i="33"/>
  <c r="C143"/>
  <c r="C147" s="1"/>
  <c r="M42" i="36" l="1"/>
  <c r="C148"/>
  <c r="M42" i="34"/>
  <c r="C148"/>
  <c r="M42" i="33"/>
  <c r="C148"/>
  <c r="E11" i="2"/>
  <c r="E12"/>
  <c r="E13"/>
  <c r="E14"/>
  <c r="E15"/>
  <c r="E16"/>
  <c r="E10"/>
  <c r="C62" i="13"/>
  <c r="C62" i="30"/>
  <c r="C62" i="32"/>
  <c r="G45" s="1"/>
  <c r="C186"/>
  <c r="C182"/>
  <c r="C183" s="1"/>
  <c r="H46" s="1"/>
  <c r="M46" s="1"/>
  <c r="E86" i="2" s="1"/>
  <c r="C178" i="32"/>
  <c r="C45" s="1"/>
  <c r="C33"/>
  <c r="C151"/>
  <c r="C138"/>
  <c r="C137"/>
  <c r="C110"/>
  <c r="C109"/>
  <c r="C104"/>
  <c r="C103"/>
  <c r="C92"/>
  <c r="C98"/>
  <c r="C56"/>
  <c r="C66"/>
  <c r="C117"/>
  <c r="D11" i="2"/>
  <c r="D12"/>
  <c r="D13"/>
  <c r="D14"/>
  <c r="D15"/>
  <c r="D16"/>
  <c r="D10"/>
  <c r="C103" i="30"/>
  <c r="C104"/>
  <c r="C109"/>
  <c r="C110"/>
  <c r="C186"/>
  <c r="C182"/>
  <c r="C183" s="1"/>
  <c r="H46" s="1"/>
  <c r="D46" i="2" s="1"/>
  <c r="C178" i="30"/>
  <c r="C45" s="1"/>
  <c r="C33"/>
  <c r="C151"/>
  <c r="C77"/>
  <c r="C97"/>
  <c r="C98" s="1"/>
  <c r="C66"/>
  <c r="C56"/>
  <c r="C131"/>
  <c r="K32" s="1"/>
  <c r="D69" i="2" s="1"/>
  <c r="C117" i="30"/>
  <c r="C178" i="13"/>
  <c r="C45" s="1"/>
  <c r="D173" i="30" l="1"/>
  <c r="E173" s="1"/>
  <c r="D168"/>
  <c r="E168" s="1"/>
  <c r="D169"/>
  <c r="E169" s="1"/>
  <c r="D170"/>
  <c r="E170" s="1"/>
  <c r="D171"/>
  <c r="C57" i="32"/>
  <c r="C24" s="1"/>
  <c r="E22" i="2" s="1"/>
  <c r="D168" i="32"/>
  <c r="D169"/>
  <c r="D170"/>
  <c r="D171"/>
  <c r="D173"/>
  <c r="C152" i="30"/>
  <c r="C57"/>
  <c r="C126" s="1"/>
  <c r="G77" i="13"/>
  <c r="G78"/>
  <c r="G79"/>
  <c r="C67" i="30"/>
  <c r="C28" s="1"/>
  <c r="M48" i="36"/>
  <c r="H42"/>
  <c r="M48" i="34"/>
  <c r="H42"/>
  <c r="M48" i="33"/>
  <c r="H42"/>
  <c r="G43" i="32"/>
  <c r="E46" i="2"/>
  <c r="C113" i="32"/>
  <c r="C116" s="1"/>
  <c r="C120" s="1"/>
  <c r="C111" i="30"/>
  <c r="C114" s="1"/>
  <c r="C118" s="1"/>
  <c r="C85"/>
  <c r="D85" s="1"/>
  <c r="E85" s="1"/>
  <c r="E85" i="32"/>
  <c r="C93"/>
  <c r="C112"/>
  <c r="C115" s="1"/>
  <c r="C119" s="1"/>
  <c r="C152"/>
  <c r="E86"/>
  <c r="C67"/>
  <c r="C28" s="1"/>
  <c r="C111"/>
  <c r="C114" s="1"/>
  <c r="C118" s="1"/>
  <c r="G35"/>
  <c r="G37"/>
  <c r="G39"/>
  <c r="H39" s="1"/>
  <c r="E40" i="2" s="1"/>
  <c r="G41" i="32"/>
  <c r="C132"/>
  <c r="L32" s="1"/>
  <c r="E83" i="2" s="1"/>
  <c r="G44" i="32"/>
  <c r="C131"/>
  <c r="K32" s="1"/>
  <c r="E69" i="2" s="1"/>
  <c r="G30" i="32"/>
  <c r="E87"/>
  <c r="G34"/>
  <c r="H34" s="1"/>
  <c r="G36"/>
  <c r="G38"/>
  <c r="C87" i="30"/>
  <c r="D87" s="1"/>
  <c r="E87" s="1"/>
  <c r="C86"/>
  <c r="D86" s="1"/>
  <c r="E86" s="1"/>
  <c r="C112"/>
  <c r="C115" s="1"/>
  <c r="C119" s="1"/>
  <c r="C92"/>
  <c r="C93" s="1"/>
  <c r="C113"/>
  <c r="C116" s="1"/>
  <c r="C120" s="1"/>
  <c r="G37"/>
  <c r="G35"/>
  <c r="M46"/>
  <c r="D86" i="2" s="1"/>
  <c r="G30" i="30"/>
  <c r="G44"/>
  <c r="G38"/>
  <c r="G36"/>
  <c r="G34"/>
  <c r="H34" s="1"/>
  <c r="D43" i="2" s="1"/>
  <c r="G41" i="30"/>
  <c r="G39"/>
  <c r="H39" s="1"/>
  <c r="D40" i="2" s="1"/>
  <c r="C132" i="30"/>
  <c r="L32" s="1"/>
  <c r="D83" i="2" s="1"/>
  <c r="D80" i="30"/>
  <c r="E171" l="1"/>
  <c r="H36" s="1"/>
  <c r="D33" i="2" s="1"/>
  <c r="H28" i="32"/>
  <c r="E29" i="2" s="1"/>
  <c r="H33" i="32"/>
  <c r="E31" i="2" s="1"/>
  <c r="E168" i="32"/>
  <c r="H37" s="1"/>
  <c r="E35" i="2" s="1"/>
  <c r="E169" i="32"/>
  <c r="H41" s="1"/>
  <c r="E37" i="2" s="1"/>
  <c r="C153" i="32"/>
  <c r="E170"/>
  <c r="E171"/>
  <c r="H36" s="1"/>
  <c r="C126"/>
  <c r="C130" s="1"/>
  <c r="H45"/>
  <c r="E44" i="2" s="1"/>
  <c r="E173" i="32"/>
  <c r="H43" s="1"/>
  <c r="E42" i="2" s="1"/>
  <c r="H40" i="32"/>
  <c r="E36" i="2" s="1"/>
  <c r="C153" i="30"/>
  <c r="H44" s="1"/>
  <c r="H28"/>
  <c r="D29" i="2" s="1"/>
  <c r="H40" i="30"/>
  <c r="D36" i="2" s="1"/>
  <c r="H45" i="30"/>
  <c r="D44" i="2" s="1"/>
  <c r="C130" i="30"/>
  <c r="J32" s="1"/>
  <c r="D62" i="2" s="1"/>
  <c r="C24" i="30"/>
  <c r="D22" i="2" s="1"/>
  <c r="H33" i="30"/>
  <c r="D31" i="2" s="1"/>
  <c r="H37" i="30"/>
  <c r="D35" i="2" s="1"/>
  <c r="E59"/>
  <c r="E43"/>
  <c r="J30" i="32"/>
  <c r="E60" i="2" s="1"/>
  <c r="H44" i="32"/>
  <c r="E45" i="2" s="1"/>
  <c r="H35" i="30"/>
  <c r="D34" i="2" s="1"/>
  <c r="E88" i="30"/>
  <c r="K31"/>
  <c r="D67" i="2" s="1"/>
  <c r="J30" i="30"/>
  <c r="D60" i="2" s="1"/>
  <c r="H38" i="30"/>
  <c r="D41" i="2" s="1"/>
  <c r="H41" i="30"/>
  <c r="D37" i="2" s="1"/>
  <c r="H35" i="32"/>
  <c r="L30"/>
  <c r="E82" i="2" s="1"/>
  <c r="H38" i="32"/>
  <c r="E41" i="2" s="1"/>
  <c r="K30" i="32"/>
  <c r="E70" i="2" s="1"/>
  <c r="L31" i="32"/>
  <c r="E78" i="2" s="1"/>
  <c r="E80"/>
  <c r="J32" i="32"/>
  <c r="E62" i="2" s="1"/>
  <c r="C133" i="32"/>
  <c r="J34"/>
  <c r="E65" i="2"/>
  <c r="L39" i="32"/>
  <c r="E76" i="2" s="1"/>
  <c r="K31" i="32"/>
  <c r="E67" i="2" s="1"/>
  <c r="E88" i="32"/>
  <c r="C121"/>
  <c r="J31"/>
  <c r="E57" i="2" s="1"/>
  <c r="L30" i="30"/>
  <c r="D82" i="2" s="1"/>
  <c r="H78" i="30"/>
  <c r="K29" s="1"/>
  <c r="D65" i="2" s="1"/>
  <c r="H79" i="30"/>
  <c r="L29" s="1"/>
  <c r="D80" i="2" s="1"/>
  <c r="H77" i="30"/>
  <c r="K30"/>
  <c r="D70" i="2" s="1"/>
  <c r="L31" i="30"/>
  <c r="D78" i="2" s="1"/>
  <c r="H43" i="30"/>
  <c r="L39"/>
  <c r="D76" i="2" s="1"/>
  <c r="J34" i="30"/>
  <c r="D59" i="2" s="1"/>
  <c r="C121" i="30"/>
  <c r="J31"/>
  <c r="D57" i="2" s="1"/>
  <c r="C151" i="13"/>
  <c r="C152" s="1"/>
  <c r="C57"/>
  <c r="J28" i="32" l="1"/>
  <c r="E55" i="2"/>
  <c r="K45" i="32"/>
  <c r="E71" i="2" s="1"/>
  <c r="K33" i="32"/>
  <c r="E64" i="2" s="1"/>
  <c r="K40" i="32"/>
  <c r="E66" i="2" s="1"/>
  <c r="E169" i="13"/>
  <c r="E170"/>
  <c r="E173"/>
  <c r="E168"/>
  <c r="E171"/>
  <c r="J28" i="30"/>
  <c r="D55" i="2" s="1"/>
  <c r="H96" s="1"/>
  <c r="K40" i="30"/>
  <c r="D66" i="2" s="1"/>
  <c r="K45" i="30"/>
  <c r="D71" i="2" s="1"/>
  <c r="K33" i="30"/>
  <c r="D64" i="2" s="1"/>
  <c r="H32" i="30"/>
  <c r="D38" i="2" s="1"/>
  <c r="C133" i="30"/>
  <c r="L37"/>
  <c r="D74" i="2" s="1"/>
  <c r="J35" i="30"/>
  <c r="D58" i="2" s="1"/>
  <c r="E34"/>
  <c r="E58"/>
  <c r="L36" i="32"/>
  <c r="E73" i="2" s="1"/>
  <c r="E33"/>
  <c r="J35" i="32"/>
  <c r="L44"/>
  <c r="E84" i="2" s="1"/>
  <c r="L38" i="32"/>
  <c r="E77" i="2" s="1"/>
  <c r="L43" i="32"/>
  <c r="E79" i="2" s="1"/>
  <c r="L41" i="32"/>
  <c r="E75" i="2" s="1"/>
  <c r="H32" i="32"/>
  <c r="E38" i="2" s="1"/>
  <c r="L37" i="32"/>
  <c r="E74" i="2" s="1"/>
  <c r="L36" i="30"/>
  <c r="D73" i="2" s="1"/>
  <c r="L41" i="30"/>
  <c r="D75" i="2" s="1"/>
  <c r="L44" i="30"/>
  <c r="D84" i="2" s="1"/>
  <c r="D45"/>
  <c r="L43" i="30"/>
  <c r="D79" i="2" s="1"/>
  <c r="D42"/>
  <c r="L38" i="30"/>
  <c r="D77" i="2" s="1"/>
  <c r="H30" i="32"/>
  <c r="H31"/>
  <c r="E30" i="2" s="1"/>
  <c r="H30" i="30"/>
  <c r="H31"/>
  <c r="J29"/>
  <c r="H80"/>
  <c r="C153" i="13"/>
  <c r="D80"/>
  <c r="E39" i="2" l="1"/>
  <c r="H29" i="32"/>
  <c r="E28" i="2" s="1"/>
  <c r="E56"/>
  <c r="D30"/>
  <c r="D39"/>
  <c r="C140" i="30"/>
  <c r="C141" s="1"/>
  <c r="D56" i="2"/>
  <c r="C140" i="32"/>
  <c r="C144" s="1"/>
  <c r="H29" i="30"/>
  <c r="C144" l="1"/>
  <c r="J42" s="1"/>
  <c r="D61" i="2" s="1"/>
  <c r="D28"/>
  <c r="C141" i="32"/>
  <c r="C145" s="1"/>
  <c r="K42" s="1"/>
  <c r="J42"/>
  <c r="E61" i="2" s="1"/>
  <c r="C145" i="30"/>
  <c r="K42" s="1"/>
  <c r="C142"/>
  <c r="C146" s="1"/>
  <c r="L42" s="1"/>
  <c r="V12" i="13"/>
  <c r="W12" s="1"/>
  <c r="V11"/>
  <c r="W11" s="1"/>
  <c r="C91"/>
  <c r="C92" s="1"/>
  <c r="K48" i="32" l="1"/>
  <c r="E68" i="2"/>
  <c r="K48" i="30"/>
  <c r="D68" i="2"/>
  <c r="L48" i="30"/>
  <c r="D81" i="2"/>
  <c r="C142" i="32"/>
  <c r="C146" s="1"/>
  <c r="L42" s="1"/>
  <c r="E81" i="2" s="1"/>
  <c r="J48" i="32"/>
  <c r="C187" i="30"/>
  <c r="H47" s="1"/>
  <c r="D47" i="2" s="1"/>
  <c r="J48" i="30"/>
  <c r="C131" i="13"/>
  <c r="C132"/>
  <c r="C187" i="32" l="1"/>
  <c r="H47" s="1"/>
  <c r="E47" i="2" s="1"/>
  <c r="L48" i="32"/>
  <c r="M47" i="30"/>
  <c r="D87" i="2" s="1"/>
  <c r="C143" i="30"/>
  <c r="C147" s="1"/>
  <c r="C109" i="13"/>
  <c r="C33"/>
  <c r="M47" i="32" l="1"/>
  <c r="E87" i="2" s="1"/>
  <c r="C143" i="32"/>
  <c r="C147" s="1"/>
  <c r="C148" s="1"/>
  <c r="M42" i="30"/>
  <c r="D88" i="2" s="1"/>
  <c r="D89" s="1"/>
  <c r="C148" i="30"/>
  <c r="AF114" i="2" l="1"/>
  <c r="AG114" s="1"/>
  <c r="M42" i="32"/>
  <c r="M48" i="30"/>
  <c r="H42"/>
  <c r="M48" i="32" l="1"/>
  <c r="E88" i="2"/>
  <c r="H42" i="32"/>
  <c r="D32" i="2"/>
  <c r="E32" l="1"/>
  <c r="C138" i="13"/>
  <c r="AA11"/>
  <c r="H48" i="36" l="1"/>
  <c r="I46" s="1"/>
  <c r="I35" l="1"/>
  <c r="I32"/>
  <c r="I41"/>
  <c r="I42"/>
  <c r="I44"/>
  <c r="I43"/>
  <c r="I38"/>
  <c r="I28"/>
  <c r="I34"/>
  <c r="I30"/>
  <c r="I39"/>
  <c r="I31"/>
  <c r="I33"/>
  <c r="I29"/>
  <c r="I40"/>
  <c r="I37"/>
  <c r="I45"/>
  <c r="I47"/>
  <c r="I36"/>
  <c r="H48" i="33"/>
  <c r="I48" i="36" l="1"/>
  <c r="H48" i="34"/>
  <c r="G127" i="2" s="1"/>
  <c r="G129" s="1"/>
  <c r="I44" i="33"/>
  <c r="I45"/>
  <c r="I43"/>
  <c r="I41"/>
  <c r="I33"/>
  <c r="I34"/>
  <c r="I28"/>
  <c r="I46"/>
  <c r="I40"/>
  <c r="I38"/>
  <c r="I32"/>
  <c r="I35"/>
  <c r="I36"/>
  <c r="I37"/>
  <c r="I39"/>
  <c r="I31"/>
  <c r="I30"/>
  <c r="I29"/>
  <c r="I47"/>
  <c r="I42"/>
  <c r="F127" i="2" l="1"/>
  <c r="F129" s="1"/>
  <c r="I37" i="34"/>
  <c r="I38"/>
  <c r="I39"/>
  <c r="I46"/>
  <c r="I44"/>
  <c r="I40"/>
  <c r="I43"/>
  <c r="I34"/>
  <c r="I35"/>
  <c r="I28"/>
  <c r="I45"/>
  <c r="I41"/>
  <c r="I36"/>
  <c r="I33"/>
  <c r="I32"/>
  <c r="I30"/>
  <c r="I31"/>
  <c r="I29"/>
  <c r="I47"/>
  <c r="I42"/>
  <c r="I48" i="33"/>
  <c r="I48" i="34" l="1"/>
  <c r="E21" i="2" l="1"/>
  <c r="C95"/>
  <c r="AD109" s="1"/>
  <c r="C15" i="13"/>
  <c r="C66" l="1"/>
  <c r="C24" s="1"/>
  <c r="E52" i="2"/>
  <c r="D95" s="1"/>
  <c r="AD110" s="1"/>
  <c r="E26"/>
  <c r="D123"/>
  <c r="C126" i="13" l="1"/>
  <c r="C130" s="1"/>
  <c r="H48" i="32"/>
  <c r="E127" i="2" s="1"/>
  <c r="E129" s="1"/>
  <c r="D124"/>
  <c r="D107"/>
  <c r="D122"/>
  <c r="D111"/>
  <c r="I46" i="32" l="1"/>
  <c r="I45"/>
  <c r="I33"/>
  <c r="I44"/>
  <c r="I35"/>
  <c r="I41"/>
  <c r="I40"/>
  <c r="I28"/>
  <c r="I36"/>
  <c r="I38"/>
  <c r="I43"/>
  <c r="I39"/>
  <c r="I37"/>
  <c r="I34"/>
  <c r="I30"/>
  <c r="I32"/>
  <c r="I31"/>
  <c r="I29"/>
  <c r="I47"/>
  <c r="I42"/>
  <c r="D99" i="2"/>
  <c r="D100"/>
  <c r="D96"/>
  <c r="D105"/>
  <c r="D98"/>
  <c r="D112"/>
  <c r="D104"/>
  <c r="D116"/>
  <c r="D110"/>
  <c r="D119"/>
  <c r="D106"/>
  <c r="D118"/>
  <c r="I48" i="32" l="1"/>
  <c r="D115" i="2"/>
  <c r="D114"/>
  <c r="D113"/>
  <c r="D117"/>
  <c r="D97"/>
  <c r="D121"/>
  <c r="C26"/>
  <c r="AD38" s="1"/>
  <c r="C11"/>
  <c r="C12"/>
  <c r="C13"/>
  <c r="C14"/>
  <c r="C15"/>
  <c r="C16"/>
  <c r="C10"/>
  <c r="C67" i="13"/>
  <c r="H123" i="2"/>
  <c r="C186" i="13"/>
  <c r="C182"/>
  <c r="L32"/>
  <c r="K32"/>
  <c r="C117"/>
  <c r="C110"/>
  <c r="C104"/>
  <c r="C103"/>
  <c r="C87"/>
  <c r="C86"/>
  <c r="C77"/>
  <c r="C97"/>
  <c r="C98" s="1"/>
  <c r="G30"/>
  <c r="H48" i="30" l="1"/>
  <c r="C113" i="13"/>
  <c r="C116" s="1"/>
  <c r="C120" s="1"/>
  <c r="C28"/>
  <c r="H28" s="1"/>
  <c r="C112"/>
  <c r="C115" s="1"/>
  <c r="C119" s="1"/>
  <c r="G34"/>
  <c r="H34" s="1"/>
  <c r="U19" s="1"/>
  <c r="D26" i="2"/>
  <c r="D21"/>
  <c r="C21"/>
  <c r="C111" i="13"/>
  <c r="C114" s="1"/>
  <c r="C118" s="1"/>
  <c r="D87"/>
  <c r="E87" s="1"/>
  <c r="L30" s="1"/>
  <c r="C183"/>
  <c r="G42"/>
  <c r="G40"/>
  <c r="G38"/>
  <c r="G36"/>
  <c r="G31"/>
  <c r="G41"/>
  <c r="G39"/>
  <c r="G35"/>
  <c r="G45"/>
  <c r="G43"/>
  <c r="G44"/>
  <c r="H44" s="1"/>
  <c r="G37"/>
  <c r="G33"/>
  <c r="G29"/>
  <c r="C93"/>
  <c r="D86"/>
  <c r="E86" s="1"/>
  <c r="K30" s="1"/>
  <c r="C85"/>
  <c r="D52" i="2" l="1"/>
  <c r="H95" s="1"/>
  <c r="AD114" s="1"/>
  <c r="AD39"/>
  <c r="Y13" i="13"/>
  <c r="AA13" s="1"/>
  <c r="U13"/>
  <c r="V13" s="1"/>
  <c r="W13" s="1"/>
  <c r="V19"/>
  <c r="W19" s="1"/>
  <c r="Y19"/>
  <c r="AA19" s="1"/>
  <c r="H77"/>
  <c r="I34" i="30"/>
  <c r="I29"/>
  <c r="I31"/>
  <c r="I46"/>
  <c r="I28"/>
  <c r="I47"/>
  <c r="I41"/>
  <c r="I45"/>
  <c r="I43"/>
  <c r="I42"/>
  <c r="I40"/>
  <c r="I32"/>
  <c r="I35"/>
  <c r="I44"/>
  <c r="I36"/>
  <c r="I33"/>
  <c r="I38"/>
  <c r="I39"/>
  <c r="I30"/>
  <c r="I37"/>
  <c r="C82" i="2"/>
  <c r="H40" i="13"/>
  <c r="K40" s="1"/>
  <c r="C66" i="2" s="1"/>
  <c r="H43" i="13"/>
  <c r="U23" s="1"/>
  <c r="H45"/>
  <c r="H38"/>
  <c r="U22" s="1"/>
  <c r="H37"/>
  <c r="H36"/>
  <c r="H41"/>
  <c r="U21" s="1"/>
  <c r="H39"/>
  <c r="L39" s="1"/>
  <c r="C76" i="2" s="1"/>
  <c r="D85" i="13"/>
  <c r="E85" s="1"/>
  <c r="J30" s="1"/>
  <c r="H33"/>
  <c r="D102" i="2"/>
  <c r="H111"/>
  <c r="H124"/>
  <c r="D120"/>
  <c r="D101"/>
  <c r="H100"/>
  <c r="J34" i="13"/>
  <c r="C43" i="2"/>
  <c r="J32" i="13"/>
  <c r="C22" i="2"/>
  <c r="J31" i="13"/>
  <c r="C57" i="2" s="1"/>
  <c r="C98" s="1"/>
  <c r="J28" i="13"/>
  <c r="H107" i="2"/>
  <c r="H122"/>
  <c r="H35" i="13"/>
  <c r="U18" s="1"/>
  <c r="L31"/>
  <c r="C78" i="2" s="1"/>
  <c r="K31" i="13"/>
  <c r="C70" i="2" s="1"/>
  <c r="H46" i="13"/>
  <c r="C121"/>
  <c r="H116" i="2"/>
  <c r="H105"/>
  <c r="H110"/>
  <c r="H119"/>
  <c r="H106"/>
  <c r="H104"/>
  <c r="C45"/>
  <c r="Y18" i="13" l="1"/>
  <c r="AA18" s="1"/>
  <c r="V18"/>
  <c r="W18" s="1"/>
  <c r="K33"/>
  <c r="C64" i="2" s="1"/>
  <c r="C104" s="1"/>
  <c r="L43" i="13"/>
  <c r="C79" i="2" s="1"/>
  <c r="C118" s="1"/>
  <c r="K45" i="13"/>
  <c r="C71" i="2" s="1"/>
  <c r="C110" s="1"/>
  <c r="C41"/>
  <c r="L37" i="13"/>
  <c r="C74" i="2" s="1"/>
  <c r="C113" s="1"/>
  <c r="L36" i="13"/>
  <c r="C73" i="2" s="1"/>
  <c r="C112" s="1"/>
  <c r="L41" i="13"/>
  <c r="C75" i="2" s="1"/>
  <c r="C115" s="1"/>
  <c r="C31"/>
  <c r="I48" i="30"/>
  <c r="C44" i="2"/>
  <c r="C42"/>
  <c r="C37"/>
  <c r="C67"/>
  <c r="C107" s="1"/>
  <c r="H115"/>
  <c r="L38" i="13"/>
  <c r="C77" i="2" s="1"/>
  <c r="C116" s="1"/>
  <c r="C33"/>
  <c r="C35"/>
  <c r="C36"/>
  <c r="E88" i="13"/>
  <c r="H114" i="2"/>
  <c r="H117"/>
  <c r="H118"/>
  <c r="H112"/>
  <c r="H113"/>
  <c r="D109"/>
  <c r="D108"/>
  <c r="C106"/>
  <c r="D103"/>
  <c r="H99"/>
  <c r="J35" i="13"/>
  <c r="C58" i="2" s="1"/>
  <c r="H32" i="13"/>
  <c r="C40" i="2" s="1"/>
  <c r="H30" i="13"/>
  <c r="C60" i="2"/>
  <c r="M46" i="13"/>
  <c r="C86" i="2" s="1"/>
  <c r="C46"/>
  <c r="C133" i="13"/>
  <c r="H97" i="2"/>
  <c r="H31" i="13"/>
  <c r="H121" i="2"/>
  <c r="L44" i="13"/>
  <c r="C84" i="2" s="1"/>
  <c r="C111" l="1"/>
  <c r="C114"/>
  <c r="Y22" i="13"/>
  <c r="AA22" s="1"/>
  <c r="V22"/>
  <c r="W22" s="1"/>
  <c r="U20"/>
  <c r="V20" s="1"/>
  <c r="W20" s="1"/>
  <c r="Y20"/>
  <c r="AA20" s="1"/>
  <c r="U16"/>
  <c r="V16" s="1"/>
  <c r="W16" s="1"/>
  <c r="Y16"/>
  <c r="AA16" s="1"/>
  <c r="Y17"/>
  <c r="AA17" s="1"/>
  <c r="U17"/>
  <c r="V17" s="1"/>
  <c r="W17" s="1"/>
  <c r="V23"/>
  <c r="W23" s="1"/>
  <c r="Y23"/>
  <c r="AA23" s="1"/>
  <c r="C30" i="2"/>
  <c r="V21" i="13"/>
  <c r="W21" s="1"/>
  <c r="Y21"/>
  <c r="AA21" s="1"/>
  <c r="Y24"/>
  <c r="AA24" s="1"/>
  <c r="U24"/>
  <c r="V24" s="1"/>
  <c r="W24" s="1"/>
  <c r="C59" i="2"/>
  <c r="C100" s="1"/>
  <c r="H102"/>
  <c r="C39"/>
  <c r="H98"/>
  <c r="C121"/>
  <c r="C99"/>
  <c r="C124"/>
  <c r="U15" i="13" l="1"/>
  <c r="V15" s="1"/>
  <c r="W15" s="1"/>
  <c r="Y15"/>
  <c r="AA15" s="1"/>
  <c r="D126" i="2"/>
  <c r="D125"/>
  <c r="D130" l="1"/>
  <c r="H120"/>
  <c r="E48"/>
  <c r="E89"/>
  <c r="H101"/>
  <c r="AF110" l="1"/>
  <c r="AG110" s="1"/>
  <c r="H103"/>
  <c r="H109" l="1"/>
  <c r="H108"/>
  <c r="H125" l="1"/>
  <c r="H126"/>
  <c r="H130" l="1"/>
  <c r="G128"/>
  <c r="D48"/>
  <c r="AF39" s="1"/>
  <c r="AG39" s="1"/>
  <c r="F128" l="1"/>
  <c r="E128" s="1"/>
  <c r="H79" i="13" l="1"/>
  <c r="L29" s="1"/>
  <c r="C80" i="2" s="1"/>
  <c r="C119" s="1"/>
  <c r="C117" l="1"/>
  <c r="J29" i="13" l="1"/>
  <c r="C55" i="2" l="1"/>
  <c r="C96" s="1"/>
  <c r="C56"/>
  <c r="C97" s="1"/>
  <c r="H78" i="13" l="1"/>
  <c r="K29" l="1"/>
  <c r="H29" s="1"/>
  <c r="H80"/>
  <c r="C29" i="2"/>
  <c r="C28" l="1"/>
  <c r="C65"/>
  <c r="C105" s="1"/>
  <c r="C83"/>
  <c r="C123" l="1"/>
  <c r="C122"/>
  <c r="V14" i="13"/>
  <c r="W14" s="1"/>
  <c r="Y14"/>
  <c r="AA14" s="1"/>
  <c r="C34" i="2"/>
  <c r="C38" l="1"/>
  <c r="C140" i="13"/>
  <c r="C144" s="1"/>
  <c r="C69" i="2"/>
  <c r="C109" s="1"/>
  <c r="C62"/>
  <c r="C103" l="1"/>
  <c r="C141" i="13"/>
  <c r="C142" s="1"/>
  <c r="C146" s="1"/>
  <c r="L42" s="1"/>
  <c r="L48" s="1"/>
  <c r="J42"/>
  <c r="C81" i="2" l="1"/>
  <c r="C145" i="13"/>
  <c r="K42" s="1"/>
  <c r="K48" s="1"/>
  <c r="J48"/>
  <c r="C61" i="2"/>
  <c r="C102" s="1"/>
  <c r="C120" l="1"/>
  <c r="C187" i="13"/>
  <c r="H47" s="1"/>
  <c r="C143" s="1"/>
  <c r="C147" s="1"/>
  <c r="C68" i="2"/>
  <c r="C108" s="1"/>
  <c r="C101"/>
  <c r="M47" i="13" l="1"/>
  <c r="C87" i="2" s="1"/>
  <c r="C125" s="1"/>
  <c r="C47"/>
  <c r="M42" i="13"/>
  <c r="C148"/>
  <c r="M48" l="1"/>
  <c r="C88" i="2"/>
  <c r="H42" i="13"/>
  <c r="Y12" l="1"/>
  <c r="AA12" s="1"/>
  <c r="C32" i="2"/>
  <c r="C126"/>
  <c r="C130" s="1"/>
  <c r="C89"/>
  <c r="AF109" l="1"/>
  <c r="AG109" s="1"/>
  <c r="C48" l="1"/>
  <c r="AF38" s="1"/>
  <c r="AG38" s="1"/>
  <c r="H48" i="13"/>
  <c r="I45" l="1"/>
  <c r="I38"/>
  <c r="I28"/>
  <c r="I33"/>
  <c r="I36"/>
  <c r="I46"/>
  <c r="I32"/>
  <c r="I31"/>
  <c r="I40"/>
  <c r="I39"/>
  <c r="I30"/>
  <c r="I43"/>
  <c r="I44"/>
  <c r="I37"/>
  <c r="I34"/>
  <c r="I29"/>
  <c r="I35"/>
  <c r="I41"/>
  <c r="I47"/>
  <c r="I42"/>
  <c r="I48" l="1"/>
</calcChain>
</file>

<file path=xl/comments1.xml><?xml version="1.0" encoding="utf-8"?>
<comments xmlns="http://schemas.openxmlformats.org/spreadsheetml/2006/main">
  <authors>
    <author>Doug Powell</author>
  </authors>
  <commentList>
    <comment ref="Y10" authorId="0">
      <text>
        <r>
          <rPr>
            <b/>
            <sz val="9"/>
            <color indexed="81"/>
            <rFont val="Tahoma"/>
            <family val="2"/>
          </rPr>
          <t>Doug Powell:</t>
        </r>
        <r>
          <rPr>
            <sz val="9"/>
            <color indexed="81"/>
            <rFont val="Tahoma"/>
            <family val="2"/>
          </rPr>
          <t xml:space="preserve">
Max possible savings
</t>
        </r>
      </text>
    </comment>
    <comment ref="U11" authorId="0">
      <text>
        <r>
          <rPr>
            <b/>
            <sz val="9"/>
            <color indexed="81"/>
            <rFont val="Tahoma"/>
            <family val="2"/>
          </rPr>
          <t>Doug Powell:</t>
        </r>
        <r>
          <rPr>
            <sz val="9"/>
            <color indexed="81"/>
            <rFont val="Tahoma"/>
            <family val="2"/>
          </rPr>
          <t xml:space="preserve">
Up to 29% for max</t>
        </r>
      </text>
    </comment>
    <comment ref="Y11" authorId="0">
      <text>
        <r>
          <rPr>
            <b/>
            <sz val="9"/>
            <color indexed="81"/>
            <rFont val="Tahoma"/>
            <family val="2"/>
          </rPr>
          <t>Doug Powell:</t>
        </r>
        <r>
          <rPr>
            <sz val="9"/>
            <color indexed="81"/>
            <rFont val="Tahoma"/>
            <family val="2"/>
          </rPr>
          <t xml:space="preserve">
29%</t>
        </r>
      </text>
    </comment>
    <comment ref="U12" authorId="0">
      <text>
        <r>
          <rPr>
            <b/>
            <sz val="9"/>
            <color indexed="81"/>
            <rFont val="Tahoma"/>
            <family val="2"/>
          </rPr>
          <t>Doug Powell:</t>
        </r>
        <r>
          <rPr>
            <sz val="9"/>
            <color indexed="81"/>
            <rFont val="Tahoma"/>
            <family val="2"/>
          </rPr>
          <t xml:space="preserve">
Up to 100% for max
</t>
        </r>
      </text>
    </commen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Total material yield of silicon ingot squaring, sawing etc.  50 - 55% from Applied Technologies
http://www.appliedmaterials.com/sites/default/files/wafering_economics_whitepaper.pdf
Centrotherm puts 2,273 tons of Si into 97.2 million wafers
and 
2,7000 t to 107 million wafers at 180 um 
=45%</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05" authorId="0">
      <text>
        <r>
          <rPr>
            <b/>
            <sz val="9"/>
            <color indexed="81"/>
            <rFont val="Tahoma"/>
            <family val="2"/>
          </rPr>
          <t>Doug Powell:</t>
        </r>
        <r>
          <rPr>
            <sz val="9"/>
            <color indexed="81"/>
            <rFont val="Tahoma"/>
            <family val="2"/>
          </rPr>
          <t xml:space="preserve">
A. Kreutzmann and M. Schmela, Photon International, 2008, 12, 84-92.</t>
        </r>
      </text>
    </comment>
    <comment ref="C106" authorId="0">
      <text>
        <r>
          <rPr>
            <b/>
            <sz val="9"/>
            <color indexed="81"/>
            <rFont val="Tahoma"/>
            <family val="2"/>
          </rPr>
          <t>Doug Powell:</t>
        </r>
        <r>
          <rPr>
            <sz val="9"/>
            <color indexed="81"/>
            <rFont val="Tahoma"/>
            <family val="2"/>
          </rPr>
          <t xml:space="preserve">
A. Kreutzmann and M. Schmela, Photon International, 2008, 12, 84-92.
Adjusted down with Suntech's advertized automation level.</t>
        </r>
      </text>
    </comment>
    <comment ref="C107" authorId="0">
      <text>
        <r>
          <rPr>
            <b/>
            <sz val="9"/>
            <color indexed="81"/>
            <rFont val="Tahoma"/>
            <family val="2"/>
          </rPr>
          <t>Doug Powell:</t>
        </r>
        <r>
          <rPr>
            <sz val="9"/>
            <color indexed="81"/>
            <rFont val="Tahoma"/>
            <family val="2"/>
          </rPr>
          <t xml:space="preserve">
A. Kreutzmann and M. Schmela, Photon International, 2008, 12, 84-92.
Adjusted down with Suntech's advertized automation level.</t>
        </r>
      </text>
    </comment>
    <comment ref="C108" authorId="0">
      <text>
        <r>
          <rPr>
            <b/>
            <sz val="9"/>
            <color indexed="81"/>
            <rFont val="Tahoma"/>
            <family val="2"/>
          </rPr>
          <t>Doug Powell:</t>
        </r>
        <r>
          <rPr>
            <sz val="9"/>
            <color indexed="81"/>
            <rFont val="Tahoma"/>
            <family val="2"/>
          </rPr>
          <t xml:space="preserve">
A. Kreutzmann and M. Schmela, Photon International, 2008, 12, 84-92.
Adjusted down with Suntech's advertized automation level.</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
</t>
        </r>
      </text>
    </comment>
    <comment ref="C127" authorId="0">
      <text>
        <r>
          <rPr>
            <b/>
            <sz val="9"/>
            <color indexed="81"/>
            <rFont val="Tahoma"/>
            <family val="2"/>
          </rPr>
          <t>Doug Powell:</t>
        </r>
        <r>
          <rPr>
            <sz val="9"/>
            <color indexed="81"/>
            <rFont val="Tahoma"/>
            <family val="2"/>
          </rPr>
          <t xml:space="preserve">
A. Kreutzmann and M. Schmela, Photon International, 2008, 12, 84-92.
</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comments2.xml><?xml version="1.0" encoding="utf-8"?>
<comments xmlns="http://schemas.openxmlformats.org/spreadsheetml/2006/main">
  <authors>
    <author>Doug Powell</author>
  </authors>
  <commentLis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Total material yield of silicon ingot squaring, sawing etc.  50 - 55% from Applied Technologies
http://www.appliedmaterials.com/sites/default/files/wafering_economics_whitepaper.pdf
Centrotherm puts 2,273 tons of Si into 97.2 million wafers
and 
2,7000 t to 107 million wafers at 180 um 
=45%</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Projection based on linear fit of domestic labor rates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
</t>
        </r>
      </text>
    </comment>
    <comment ref="C127" authorId="0">
      <text>
        <r>
          <rPr>
            <b/>
            <sz val="9"/>
            <color indexed="81"/>
            <rFont val="Tahoma"/>
            <family val="2"/>
          </rPr>
          <t>Doug Powell:</t>
        </r>
        <r>
          <rPr>
            <sz val="9"/>
            <color indexed="81"/>
            <rFont val="Tahoma"/>
            <family val="2"/>
          </rPr>
          <t xml:space="preserve">
A. Kreutzmann and M. Schmela, Photon International, 2008, 12, 84-92.
</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comments3.xml><?xml version="1.0" encoding="utf-8"?>
<comments xmlns="http://schemas.openxmlformats.org/spreadsheetml/2006/main">
  <authors>
    <author>Doug Powell</author>
  </authors>
  <commentLis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Assumes some loss</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Projection based on linear fit of domestic labor rates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F34" authorId="0">
      <text>
        <r>
          <rPr>
            <b/>
            <sz val="9"/>
            <color indexed="81"/>
            <rFont val="Tahoma"/>
            <family val="2"/>
          </rPr>
          <t>Doug Powell:</t>
        </r>
        <r>
          <rPr>
            <sz val="9"/>
            <color indexed="81"/>
            <rFont val="Tahoma"/>
            <family val="2"/>
          </rPr>
          <t xml:space="preserve">
Crucible is removed with kerfless process</t>
        </r>
      </text>
    </comment>
    <comment ref="F35" authorId="0">
      <text>
        <r>
          <rPr>
            <b/>
            <sz val="9"/>
            <color indexed="81"/>
            <rFont val="Tahoma"/>
            <family val="2"/>
          </rPr>
          <t>Doug Powell:</t>
        </r>
        <r>
          <rPr>
            <sz val="9"/>
            <color indexed="81"/>
            <rFont val="Tahoma"/>
            <family val="2"/>
          </rPr>
          <t xml:space="preserve">
Wire Sawing is removed with kerfless process</t>
        </r>
      </text>
    </comment>
    <comment ref="F37" authorId="0">
      <text>
        <r>
          <rPr>
            <b/>
            <sz val="9"/>
            <color indexed="81"/>
            <rFont val="Tahoma"/>
            <family val="2"/>
          </rPr>
          <t>Doug Powell:</t>
        </r>
        <r>
          <rPr>
            <sz val="9"/>
            <color indexed="81"/>
            <rFont val="Tahoma"/>
            <family val="2"/>
          </rPr>
          <t xml:space="preserve">
Frameless Module</t>
        </r>
      </text>
    </comment>
    <comment ref="F40" authorId="0">
      <text>
        <r>
          <rPr>
            <b/>
            <sz val="9"/>
            <color indexed="81"/>
            <rFont val="Tahoma"/>
            <family val="2"/>
          </rPr>
          <t>Doug Powell:</t>
        </r>
        <r>
          <rPr>
            <sz val="9"/>
            <color indexed="81"/>
            <rFont val="Tahoma"/>
            <family val="2"/>
          </rPr>
          <t xml:space="preserve">
Reduce consumable gases and chemicals by .52 of previous value by getting rid of Pocl3 and front texture acids from GTM Research report</t>
        </r>
      </text>
    </comment>
    <comment ref="F43" authorId="0">
      <text>
        <r>
          <rPr>
            <b/>
            <sz val="9"/>
            <color indexed="81"/>
            <rFont val="Tahoma"/>
            <family val="2"/>
          </rPr>
          <t>Doug Powell:</t>
        </r>
        <r>
          <rPr>
            <sz val="9"/>
            <color indexed="81"/>
            <rFont val="Tahoma"/>
            <family val="2"/>
          </rPr>
          <t xml:space="preserve">
Monolithic backsheet that integrates ribbon</t>
        </r>
      </text>
    </comment>
    <comment ref="F45" authorId="0">
      <text>
        <r>
          <rPr>
            <b/>
            <sz val="9"/>
            <color indexed="81"/>
            <rFont val="Tahoma"/>
            <family val="2"/>
          </rPr>
          <t>Doug Powell:</t>
        </r>
        <r>
          <rPr>
            <sz val="9"/>
            <color indexed="81"/>
            <rFont val="Tahoma"/>
            <family val="2"/>
          </rPr>
          <t xml:space="preserve">
Single complete coverage rear metallization step</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
Minus 18,000,000 for getting rid of wire saws and ingot crystallization stuff</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t>
        </r>
      </text>
    </comment>
    <comment ref="C127" authorId="0">
      <text>
        <r>
          <rPr>
            <b/>
            <sz val="9"/>
            <color indexed="81"/>
            <rFont val="Tahoma"/>
            <family val="2"/>
          </rPr>
          <t>Doug Powell:</t>
        </r>
        <r>
          <rPr>
            <sz val="9"/>
            <color indexed="81"/>
            <rFont val="Tahoma"/>
            <family val="2"/>
          </rPr>
          <t xml:space="preserve">
A. Kreutzmann and M. Schmela, Photon International, 2008, 12, 84-92.
Wafering need to 20% of original for kerfless</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comments4.xml><?xml version="1.0" encoding="utf-8"?>
<comments xmlns="http://schemas.openxmlformats.org/spreadsheetml/2006/main">
  <authors>
    <author>Doug Powell</author>
  </authors>
  <commentList>
    <comment ref="A1" authorId="0">
      <text>
        <r>
          <rPr>
            <b/>
            <sz val="9"/>
            <color indexed="81"/>
            <rFont val="Tahoma"/>
            <family val="2"/>
          </rPr>
          <t xml:space="preserve">Doug Powell:
</t>
        </r>
        <r>
          <rPr>
            <sz val="9"/>
            <color indexed="81"/>
            <rFont val="Tahoma"/>
            <family val="2"/>
          </rPr>
          <t>Modify efficiency to 20.5</t>
        </r>
      </text>
    </commen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Total material yield of silicon ingot squaring, sawing etc.  50 - 55% from Applied Technologies
http://www.appliedmaterials.com/sites/default/files/wafering_economics_whitepaper.pdf
Centrotherm puts 2,273 tons of Si into 97.2 million wafers
and 
2,7000 t to 107 million wafers at 180 um 
=45%</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Projection based on linear fit of domestic labor rates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
</t>
        </r>
      </text>
    </comment>
    <comment ref="C127" authorId="0">
      <text>
        <r>
          <rPr>
            <b/>
            <sz val="9"/>
            <color indexed="81"/>
            <rFont val="Tahoma"/>
            <family val="2"/>
          </rPr>
          <t>Doug Powell:</t>
        </r>
        <r>
          <rPr>
            <sz val="9"/>
            <color indexed="81"/>
            <rFont val="Tahoma"/>
            <family val="2"/>
          </rPr>
          <t xml:space="preserve">
A. Kreutzmann and M. Schmela, Photon International, 2008, 12, 84-92.
</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comments5.xml><?xml version="1.0" encoding="utf-8"?>
<comments xmlns="http://schemas.openxmlformats.org/spreadsheetml/2006/main">
  <authors>
    <author>Doug Powell</author>
  </authors>
  <commentList>
    <comment ref="A1" authorId="0">
      <text>
        <r>
          <rPr>
            <b/>
            <sz val="9"/>
            <color indexed="81"/>
            <rFont val="Tahoma"/>
            <family val="2"/>
          </rPr>
          <t>Doug Powell:</t>
        </r>
        <r>
          <rPr>
            <sz val="9"/>
            <color indexed="81"/>
            <rFont val="Tahoma"/>
            <family val="2"/>
          </rPr>
          <t xml:space="preserve">
reduce thickness to 50 um, increase mat yield .95, tech multiplier for ingot casting and wire sawing to 0, wafering electric multiply by .1, wafering mechanical yield to .97</t>
        </r>
      </text>
    </commen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Assumes some loss</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Projection based on linear fit of domestic labor rates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F34" authorId="0">
      <text>
        <r>
          <rPr>
            <b/>
            <sz val="9"/>
            <color indexed="81"/>
            <rFont val="Tahoma"/>
            <family val="2"/>
          </rPr>
          <t>Doug Powell:</t>
        </r>
        <r>
          <rPr>
            <sz val="9"/>
            <color indexed="81"/>
            <rFont val="Tahoma"/>
            <family val="2"/>
          </rPr>
          <t xml:space="preserve">
Crucible is removed with kerfless process</t>
        </r>
      </text>
    </comment>
    <comment ref="F35" authorId="0">
      <text>
        <r>
          <rPr>
            <b/>
            <sz val="9"/>
            <color indexed="81"/>
            <rFont val="Tahoma"/>
            <family val="2"/>
          </rPr>
          <t>Doug Powell:</t>
        </r>
        <r>
          <rPr>
            <sz val="9"/>
            <color indexed="81"/>
            <rFont val="Tahoma"/>
            <family val="2"/>
          </rPr>
          <t xml:space="preserve">
Wire Sawing is removed with kerfless process</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
Minus 18,000,000 for getting rid of wire saws and ingot crystallization stuff</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
10% of original from industry estimates for kerfless</t>
        </r>
      </text>
    </comment>
    <comment ref="C127" authorId="0">
      <text>
        <r>
          <rPr>
            <b/>
            <sz val="9"/>
            <color indexed="81"/>
            <rFont val="Tahoma"/>
            <family val="2"/>
          </rPr>
          <t>Doug Powell:</t>
        </r>
        <r>
          <rPr>
            <sz val="9"/>
            <color indexed="81"/>
            <rFont val="Tahoma"/>
            <family val="2"/>
          </rPr>
          <t xml:space="preserve">
A. Kreutzmann and M. Schmela, Photon International, 2008, 12, 84-92.
Wafering need to 20% of original for kerfless</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comments6.xml><?xml version="1.0" encoding="utf-8"?>
<comments xmlns="http://schemas.openxmlformats.org/spreadsheetml/2006/main">
  <authors>
    <author>Doug Powell</author>
  </authors>
  <commentList>
    <comment ref="A1" authorId="0">
      <text>
        <r>
          <rPr>
            <b/>
            <sz val="9"/>
            <color indexed="81"/>
            <rFont val="Tahoma"/>
            <family val="2"/>
          </rPr>
          <t>Doug Powell:</t>
        </r>
        <r>
          <rPr>
            <sz val="9"/>
            <color indexed="81"/>
            <rFont val="Tahoma"/>
            <family val="2"/>
          </rPr>
          <t xml:space="preserve">
Reduce Labor, remove screens and reduce consumable gases</t>
        </r>
      </text>
    </comment>
    <comment ref="C14" authorId="0">
      <text>
        <r>
          <rPr>
            <b/>
            <sz val="9"/>
            <color indexed="81"/>
            <rFont val="Tahoma"/>
            <family val="2"/>
          </rPr>
          <t>Doug Powell:</t>
        </r>
        <r>
          <rPr>
            <sz val="9"/>
            <color indexed="81"/>
            <rFont val="Tahoma"/>
            <family val="2"/>
          </rPr>
          <t xml:space="preserve">
Module Knockdown Factors (module vs lab cell efficiency)
0.84 Sunpower from 24 to 20.2
.88 for Sayno Hit Cell</t>
        </r>
      </text>
    </comment>
    <comment ref="C16" authorId="0">
      <text>
        <r>
          <rPr>
            <b/>
            <sz val="9"/>
            <color indexed="81"/>
            <rFont val="Tahoma"/>
            <family val="2"/>
          </rPr>
          <t>Doug Powell:</t>
        </r>
        <r>
          <rPr>
            <sz val="9"/>
            <color indexed="81"/>
            <rFont val="Tahoma"/>
            <family val="2"/>
          </rPr>
          <t xml:space="preserve">
Assumes some loss</t>
        </r>
      </text>
    </comment>
    <comment ref="C18" authorId="0">
      <text>
        <r>
          <rPr>
            <b/>
            <sz val="9"/>
            <color indexed="81"/>
            <rFont val="Tahoma"/>
            <family val="2"/>
          </rPr>
          <t xml:space="preserve">Doug Powell:
</t>
        </r>
        <r>
          <rPr>
            <sz val="9"/>
            <color indexed="81"/>
            <rFont val="Tahoma"/>
            <family val="2"/>
          </rPr>
          <t xml:space="preserve">U.S. Department of Labor Bureau of Labor Statistics, May 2010 National Industry-Specific Occupational Employment and Wage Estimates: NAICS 334400 - Semiconductor and Other Electronic Component Manufacturing, 2010.
Base pay times 1.325 for US
http://web.mit.edu/e-club/hadzima/how-much-does-an-employee-cost.html
Projection based on linear fit of domestic labor rates
</t>
        </r>
      </text>
    </comment>
    <comment ref="C19" authorId="0">
      <text>
        <r>
          <rPr>
            <b/>
            <sz val="9"/>
            <color indexed="81"/>
            <rFont val="Tahoma"/>
            <family val="2"/>
          </rPr>
          <t>Doug Powell:</t>
        </r>
        <r>
          <rPr>
            <sz val="9"/>
            <color indexed="81"/>
            <rFont val="Tahoma"/>
            <family val="2"/>
          </rPr>
          <t xml:space="preserve">
Reference:
U.S. Energy Information Administration, Electric Power Monthly July 2011, 2011, 109.</t>
        </r>
      </text>
    </comment>
    <comment ref="C24" authorId="0">
      <text>
        <r>
          <rPr>
            <b/>
            <sz val="9"/>
            <color indexed="81"/>
            <rFont val="Tahoma"/>
            <family val="2"/>
          </rPr>
          <t>Doug Powell:</t>
        </r>
        <r>
          <rPr>
            <sz val="9"/>
            <color indexed="81"/>
            <rFont val="Tahoma"/>
            <family val="2"/>
          </rPr>
          <t xml:space="preserve">
Includes Breakage</t>
        </r>
      </text>
    </comment>
    <comment ref="F34" authorId="0">
      <text>
        <r>
          <rPr>
            <b/>
            <sz val="9"/>
            <color indexed="81"/>
            <rFont val="Tahoma"/>
            <family val="2"/>
          </rPr>
          <t>Doug Powell:</t>
        </r>
        <r>
          <rPr>
            <sz val="9"/>
            <color indexed="81"/>
            <rFont val="Tahoma"/>
            <family val="2"/>
          </rPr>
          <t xml:space="preserve">
Crucible is removed with kerfless process</t>
        </r>
      </text>
    </comment>
    <comment ref="F35" authorId="0">
      <text>
        <r>
          <rPr>
            <b/>
            <sz val="9"/>
            <color indexed="81"/>
            <rFont val="Tahoma"/>
            <family val="2"/>
          </rPr>
          <t>Doug Powell:</t>
        </r>
        <r>
          <rPr>
            <sz val="9"/>
            <color indexed="81"/>
            <rFont val="Tahoma"/>
            <family val="2"/>
          </rPr>
          <t xml:space="preserve">
Wire Sawing is removed with kerfless process</t>
        </r>
      </text>
    </comment>
    <comment ref="F37" authorId="0">
      <text>
        <r>
          <rPr>
            <b/>
            <sz val="9"/>
            <color indexed="81"/>
            <rFont val="Tahoma"/>
            <family val="2"/>
          </rPr>
          <t>Doug Powell:</t>
        </r>
        <r>
          <rPr>
            <sz val="9"/>
            <color indexed="81"/>
            <rFont val="Tahoma"/>
            <family val="2"/>
          </rPr>
          <t xml:space="preserve">
Frameless Module</t>
        </r>
      </text>
    </comment>
    <comment ref="F40" authorId="0">
      <text>
        <r>
          <rPr>
            <b/>
            <sz val="9"/>
            <color indexed="81"/>
            <rFont val="Tahoma"/>
            <family val="2"/>
          </rPr>
          <t>Doug Powell:</t>
        </r>
        <r>
          <rPr>
            <sz val="9"/>
            <color indexed="81"/>
            <rFont val="Tahoma"/>
            <family val="2"/>
          </rPr>
          <t xml:space="preserve">
Reduce consumable gases and chemicals by .52 of previous value by getting rid of Pocl3 and front texture acids from GTM Research report</t>
        </r>
      </text>
    </comment>
    <comment ref="F43" authorId="0">
      <text>
        <r>
          <rPr>
            <b/>
            <sz val="9"/>
            <color indexed="81"/>
            <rFont val="Tahoma"/>
            <family val="2"/>
          </rPr>
          <t>Doug Powell:</t>
        </r>
        <r>
          <rPr>
            <sz val="9"/>
            <color indexed="81"/>
            <rFont val="Tahoma"/>
            <family val="2"/>
          </rPr>
          <t xml:space="preserve">
Monolithic backsheet that integrates ribbon</t>
        </r>
      </text>
    </comment>
    <comment ref="F45" authorId="0">
      <text>
        <r>
          <rPr>
            <b/>
            <sz val="9"/>
            <color indexed="81"/>
            <rFont val="Tahoma"/>
            <family val="2"/>
          </rPr>
          <t>Doug Powell:</t>
        </r>
        <r>
          <rPr>
            <sz val="9"/>
            <color indexed="81"/>
            <rFont val="Tahoma"/>
            <family val="2"/>
          </rPr>
          <t xml:space="preserve">
Single complete coverage rear metallization step</t>
        </r>
      </text>
    </comment>
    <comment ref="C54" authorId="0">
      <text>
        <r>
          <rPr>
            <b/>
            <sz val="9"/>
            <color indexed="81"/>
            <rFont val="Tahoma"/>
            <family val="2"/>
          </rPr>
          <t xml:space="preserve">Doug Powell:
</t>
        </r>
        <r>
          <rPr>
            <sz val="9"/>
            <color indexed="81"/>
            <rFont val="Tahoma"/>
            <family val="2"/>
          </rPr>
          <t>156 mm wafer</t>
        </r>
      </text>
    </comment>
    <comment ref="C60" authorId="0">
      <text>
        <r>
          <rPr>
            <b/>
            <sz val="9"/>
            <color indexed="81"/>
            <rFont val="Tahoma"/>
            <family val="2"/>
          </rPr>
          <t>Doug Powell:</t>
        </r>
        <r>
          <rPr>
            <sz val="9"/>
            <color indexed="81"/>
            <rFont val="Tahoma"/>
            <family val="2"/>
          </rPr>
          <t xml:space="preserve">
2012 to 220 from EPIA
</t>
        </r>
      </text>
    </comment>
    <comment ref="C61" authorId="0">
      <text>
        <r>
          <rPr>
            <b/>
            <sz val="9"/>
            <color indexed="81"/>
            <rFont val="Tahoma"/>
            <family val="2"/>
          </rPr>
          <t>Doug Powell:</t>
        </r>
        <r>
          <rPr>
            <sz val="9"/>
            <color indexed="81"/>
            <rFont val="Tahoma"/>
            <family val="2"/>
          </rPr>
          <t xml:space="preserve">
 "Cost Estimator's Reference Manual- 2nd Ed.," by Rodney Stewart:
95%, conservative estimate, for raw materials and repetitive electronics manufacturing</t>
        </r>
      </text>
    </comment>
    <comment ref="C70"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1" authorId="0">
      <text>
        <r>
          <rPr>
            <b/>
            <sz val="9"/>
            <color indexed="81"/>
            <rFont val="Tahoma"/>
            <family val="2"/>
          </rPr>
          <t>Doug Powell:</t>
        </r>
        <r>
          <rPr>
            <sz val="9"/>
            <color indexed="81"/>
            <rFont val="Tahoma"/>
            <family val="2"/>
          </rPr>
          <t xml:space="preserve">
Base case from:
A. Kreutzmann and M. Schmela, Photon International, 2008, 12, 84-92.
</t>
        </r>
      </text>
    </comment>
    <comment ref="C73" authorId="0">
      <text>
        <r>
          <rPr>
            <b/>
            <sz val="9"/>
            <color indexed="81"/>
            <rFont val="Tahoma"/>
            <family val="2"/>
          </rPr>
          <t>Doug Powell:</t>
        </r>
        <r>
          <rPr>
            <sz val="9"/>
            <color indexed="81"/>
            <rFont val="Tahoma"/>
            <family val="2"/>
          </rPr>
          <t xml:space="preserve">
5 years for capital equipment</t>
        </r>
      </text>
    </comment>
    <comment ref="C74" authorId="0">
      <text>
        <r>
          <rPr>
            <b/>
            <sz val="9"/>
            <color indexed="81"/>
            <rFont val="Tahoma"/>
            <family val="2"/>
          </rPr>
          <t>Doug Powell:</t>
        </r>
        <r>
          <rPr>
            <sz val="9"/>
            <color indexed="81"/>
            <rFont val="Tahoma"/>
            <family val="2"/>
          </rPr>
          <t xml:space="preserve">
For commercial building</t>
        </r>
      </text>
    </comment>
    <comment ref="D77"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
Minus 18,000,000 for getting rid of wire saws and ingot crystallization stuff</t>
        </r>
      </text>
    </comment>
    <comment ref="D78" authorId="0">
      <text>
        <r>
          <rPr>
            <b/>
            <sz val="9"/>
            <color indexed="81"/>
            <rFont val="Tahoma"/>
            <family val="2"/>
          </rPr>
          <t>Doug Powell:</t>
        </r>
        <r>
          <rPr>
            <sz val="9"/>
            <color indexed="81"/>
            <rFont val="Tahoma"/>
            <family val="2"/>
          </rPr>
          <t xml:space="preserve">
Centrotherm Turn-Key adjusted for market changes.  .85 from turnkey price changes, additional .9 to match with anecdotal evidence for were costs are at</t>
        </r>
      </text>
    </comment>
    <comment ref="D79" authorId="0">
      <text>
        <r>
          <rPr>
            <b/>
            <sz val="9"/>
            <color indexed="81"/>
            <rFont val="Tahoma"/>
            <family val="2"/>
          </rPr>
          <t>Doug Powell:</t>
        </r>
        <r>
          <rPr>
            <sz val="9"/>
            <color indexed="81"/>
            <rFont val="Tahoma"/>
            <family val="2"/>
          </rPr>
          <t xml:space="preserve">
Centrotherm Turn-key
Scaled to 2010 $10m for 60 MW facility
</t>
        </r>
      </text>
    </comment>
    <comment ref="C83" authorId="0">
      <text>
        <r>
          <rPr>
            <b/>
            <sz val="9"/>
            <color indexed="81"/>
            <rFont val="Tahoma"/>
            <family val="2"/>
          </rPr>
          <t>Doug Powell:</t>
        </r>
        <r>
          <rPr>
            <sz val="9"/>
            <color indexed="81"/>
            <rFont val="Tahoma"/>
            <family val="2"/>
          </rPr>
          <t xml:space="preserve">
A. Kreutzmann and M. Schmela, Photon International, 2008, 12, 84-92.
Matches other rule of thumb maintenance cost estimates
</t>
        </r>
      </text>
    </comment>
    <comment ref="B90" authorId="0">
      <text>
        <r>
          <rPr>
            <b/>
            <sz val="9"/>
            <color indexed="81"/>
            <rFont val="Tahoma"/>
            <family val="2"/>
          </rPr>
          <t>Doug Powell:</t>
        </r>
        <r>
          <rPr>
            <sz val="9"/>
            <color indexed="81"/>
            <rFont val="Tahoma"/>
            <family val="2"/>
          </rPr>
          <t xml:space="preserve">
Wire + Slurry </t>
        </r>
      </text>
    </comment>
    <comment ref="C91" authorId="0">
      <text>
        <r>
          <rPr>
            <b/>
            <sz val="9"/>
            <color indexed="81"/>
            <rFont val="Tahoma"/>
            <family val="2"/>
          </rPr>
          <t>Doug Powell:</t>
        </r>
        <r>
          <rPr>
            <sz val="9"/>
            <color indexed="81"/>
            <rFont val="Tahoma"/>
            <family val="2"/>
          </rPr>
          <t xml:space="preserve">
A. Kreutzmann and M. Schmela, Photon International, 2008, 12, 84-92.
</t>
        </r>
      </text>
    </comment>
    <comment ref="B95" authorId="0">
      <text>
        <r>
          <rPr>
            <b/>
            <sz val="9"/>
            <color indexed="81"/>
            <rFont val="Tahoma"/>
            <family val="2"/>
          </rPr>
          <t>Doug Powell:</t>
        </r>
        <r>
          <rPr>
            <sz val="9"/>
            <color indexed="81"/>
            <rFont val="Tahoma"/>
            <family val="2"/>
          </rPr>
          <t xml:space="preserve">
Crucible</t>
        </r>
      </text>
    </comment>
    <comment ref="C96" authorId="0">
      <text>
        <r>
          <rPr>
            <b/>
            <sz val="9"/>
            <color indexed="81"/>
            <rFont val="Tahoma"/>
            <family val="2"/>
          </rPr>
          <t>Doug Powell:</t>
        </r>
        <r>
          <rPr>
            <sz val="9"/>
            <color indexed="81"/>
            <rFont val="Tahoma"/>
            <family val="2"/>
          </rPr>
          <t xml:space="preserve">
A. Kreutzmann and M. Schmela, Photon International, 2008, 12, 84-92.
</t>
        </r>
      </text>
    </comment>
    <comment ref="C101" authorId="0">
      <text>
        <r>
          <rPr>
            <b/>
            <sz val="9"/>
            <color indexed="81"/>
            <rFont val="Tahoma"/>
            <family val="2"/>
          </rPr>
          <t>Doug Powell:</t>
        </r>
        <r>
          <rPr>
            <sz val="9"/>
            <color indexed="81"/>
            <rFont val="Tahoma"/>
            <family val="2"/>
          </rPr>
          <t xml:space="preserve">
A. Kreutzmann and M. Schmela, Photon International, 2008, 12, 84-92.
</t>
        </r>
      </text>
    </comment>
    <comment ref="C102" authorId="0">
      <text>
        <r>
          <rPr>
            <b/>
            <sz val="9"/>
            <color indexed="81"/>
            <rFont val="Tahoma"/>
            <family val="2"/>
          </rPr>
          <t>Doug Powell:</t>
        </r>
        <r>
          <rPr>
            <sz val="9"/>
            <color indexed="81"/>
            <rFont val="Tahoma"/>
            <family val="2"/>
          </rPr>
          <t xml:space="preserve">
A. Kreutzmann and M. Schmela, Photon International, 2008, 12, 84-92.
</t>
        </r>
      </text>
    </comment>
    <comment ref="C124" authorId="0">
      <text>
        <r>
          <rPr>
            <b/>
            <sz val="9"/>
            <color indexed="81"/>
            <rFont val="Tahoma"/>
            <family val="2"/>
          </rPr>
          <t>Doug Powell:</t>
        </r>
        <r>
          <rPr>
            <sz val="9"/>
            <color indexed="81"/>
            <rFont val="Tahoma"/>
            <family val="2"/>
          </rPr>
          <t xml:space="preserve">
A. Kreutzmann and M. Schmela, Photon International, 2008, 12, 84-92.
</t>
        </r>
      </text>
    </comment>
    <comment ref="C125" authorId="0">
      <text>
        <r>
          <rPr>
            <b/>
            <sz val="9"/>
            <color indexed="81"/>
            <rFont val="Tahoma"/>
            <family val="2"/>
          </rPr>
          <t>Doug Powell:</t>
        </r>
        <r>
          <rPr>
            <sz val="9"/>
            <color indexed="81"/>
            <rFont val="Tahoma"/>
            <family val="2"/>
          </rPr>
          <t xml:space="preserve">
A. Kreutzmann and M. Schmela, Photon International, 2008, 12, 84-92.
10% of original from industry estimates for kerfless</t>
        </r>
      </text>
    </comment>
    <comment ref="C127" authorId="0">
      <text>
        <r>
          <rPr>
            <b/>
            <sz val="9"/>
            <color indexed="81"/>
            <rFont val="Tahoma"/>
            <family val="2"/>
          </rPr>
          <t>Doug Powell:</t>
        </r>
        <r>
          <rPr>
            <sz val="9"/>
            <color indexed="81"/>
            <rFont val="Tahoma"/>
            <family val="2"/>
          </rPr>
          <t xml:space="preserve">
A. Kreutzmann and M. Schmela, Photon International, 2008, 12, 84-92.
Wafering need to 20% of original for kerfless</t>
        </r>
      </text>
    </comment>
    <comment ref="C128" authorId="0">
      <text>
        <r>
          <rPr>
            <b/>
            <sz val="9"/>
            <color indexed="81"/>
            <rFont val="Tahoma"/>
            <family val="2"/>
          </rPr>
          <t>Doug Powell:</t>
        </r>
        <r>
          <rPr>
            <sz val="9"/>
            <color indexed="81"/>
            <rFont val="Tahoma"/>
            <family val="2"/>
          </rPr>
          <t xml:space="preserve">
A. Kreutzmann and M. Schmela, Photon International, 2008, 12, 84-92.
</t>
        </r>
      </text>
    </comment>
    <comment ref="C129" authorId="0">
      <text>
        <r>
          <rPr>
            <b/>
            <sz val="9"/>
            <color indexed="81"/>
            <rFont val="Tahoma"/>
            <family val="2"/>
          </rPr>
          <t>Doug Powell:</t>
        </r>
        <r>
          <rPr>
            <sz val="9"/>
            <color indexed="81"/>
            <rFont val="Tahoma"/>
            <family val="2"/>
          </rPr>
          <t xml:space="preserve">
A. Kreutzmann and M. Schmela, Photon International, 2008, 12, 84-92.
</t>
        </r>
      </text>
    </comment>
    <comment ref="C136" authorId="0">
      <text>
        <r>
          <rPr>
            <b/>
            <sz val="9"/>
            <color indexed="81"/>
            <rFont val="Tahoma"/>
            <family val="2"/>
          </rPr>
          <t>Doug Powell:</t>
        </r>
        <r>
          <rPr>
            <sz val="9"/>
            <color indexed="81"/>
            <rFont val="Tahoma"/>
            <family val="2"/>
          </rPr>
          <t xml:space="preserve">
Applied Materials Wafering Economics Whitepaper</t>
        </r>
      </text>
    </comment>
    <comment ref="C137"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8"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39" authorId="0">
      <text>
        <r>
          <rPr>
            <b/>
            <sz val="9"/>
            <color indexed="81"/>
            <rFont val="Tahoma"/>
            <family val="2"/>
          </rPr>
          <t>Doug Powell:</t>
        </r>
        <r>
          <rPr>
            <sz val="9"/>
            <color indexed="81"/>
            <rFont val="Tahoma"/>
            <family val="2"/>
          </rPr>
          <t xml:space="preserve">
Frank Faller, Centrotherm photovoltaics, 2010 Texas Renewable, San Antonio Nov 7-10 </t>
        </r>
      </text>
    </comment>
    <comment ref="C151" authorId="0">
      <text>
        <r>
          <rPr>
            <b/>
            <sz val="9"/>
            <color indexed="81"/>
            <rFont val="Tahoma"/>
            <family val="2"/>
          </rPr>
          <t>Doug Powell:</t>
        </r>
        <r>
          <rPr>
            <sz val="9"/>
            <color indexed="81"/>
            <rFont val="Tahoma"/>
            <family val="2"/>
          </rPr>
          <t xml:space="preserve">
http://answers.yahoo.com/question/index?qid=20110405132256AALC8wK</t>
        </r>
      </text>
    </comment>
    <comment ref="C152" authorId="0">
      <text>
        <r>
          <rPr>
            <b/>
            <sz val="9"/>
            <color indexed="81"/>
            <rFont val="Tahoma"/>
            <family val="2"/>
          </rPr>
          <t>Doug Powell:</t>
        </r>
        <r>
          <rPr>
            <sz val="9"/>
            <color indexed="81"/>
            <rFont val="Tahoma"/>
            <family val="2"/>
          </rPr>
          <t xml:space="preserve">
3 sheets per to also account for shrink wrap
</t>
        </r>
      </text>
    </comment>
    <comment ref="C156" authorId="0">
      <text>
        <r>
          <rPr>
            <b/>
            <sz val="9"/>
            <color indexed="81"/>
            <rFont val="Tahoma"/>
            <family val="2"/>
          </rPr>
          <t>Doug Powell:</t>
        </r>
        <r>
          <rPr>
            <sz val="9"/>
            <color indexed="81"/>
            <rFont val="Tahoma"/>
            <family val="2"/>
          </rPr>
          <t xml:space="preserve">
Photon "Behind Bars"</t>
        </r>
      </text>
    </comment>
    <comment ref="C157" authorId="0">
      <text>
        <r>
          <rPr>
            <b/>
            <sz val="9"/>
            <color indexed="81"/>
            <rFont val="Tahoma"/>
            <family val="2"/>
          </rPr>
          <t>Doug Powell:</t>
        </r>
        <r>
          <rPr>
            <sz val="9"/>
            <color indexed="81"/>
            <rFont val="Tahoma"/>
            <family val="2"/>
          </rPr>
          <t xml:space="preserve">
SEMI Roadmap</t>
        </r>
      </text>
    </comment>
    <comment ref="C159" authorId="0">
      <text>
        <r>
          <rPr>
            <b/>
            <sz val="9"/>
            <color indexed="81"/>
            <rFont val="Tahoma"/>
            <family val="2"/>
          </rPr>
          <t>Doug Powell:</t>
        </r>
        <r>
          <rPr>
            <sz val="9"/>
            <color indexed="81"/>
            <rFont val="Tahoma"/>
            <family val="2"/>
          </rPr>
          <t xml:space="preserve">
From browsing http://www.alibaba.com</t>
        </r>
      </text>
    </comment>
    <comment ref="C160" authorId="0">
      <text>
        <r>
          <rPr>
            <b/>
            <sz val="9"/>
            <color indexed="81"/>
            <rFont val="Tahoma"/>
            <family val="2"/>
          </rPr>
          <t>Doug Powell:</t>
        </r>
        <r>
          <rPr>
            <sz val="9"/>
            <color indexed="81"/>
            <rFont val="Tahoma"/>
            <family val="2"/>
          </rPr>
          <t xml:space="preserve">
http://www.targray.com/solar/cystalline-cell-materials/aluminum-paste.php
http://www.ferro.com/non-cms/ems/solar/technical/IEE-Al-PbFree-Low-bow.pdf</t>
        </r>
      </text>
    </comment>
    <comment ref="B164" authorId="0">
      <text>
        <r>
          <rPr>
            <b/>
            <sz val="9"/>
            <color indexed="81"/>
            <rFont val="Tahoma"/>
            <family val="2"/>
          </rPr>
          <t>Doug Powell:</t>
        </r>
        <r>
          <rPr>
            <sz val="9"/>
            <color indexed="81"/>
            <rFont val="Tahoma"/>
            <family val="2"/>
          </rPr>
          <t xml:space="preserve">
GTM Research PV Bill of Materials </t>
        </r>
      </text>
    </comment>
    <comment ref="D168" authorId="0">
      <text>
        <r>
          <rPr>
            <b/>
            <sz val="9"/>
            <color indexed="81"/>
            <rFont val="Tahoma"/>
            <charset val="1"/>
          </rPr>
          <t>Doug Powell:</t>
        </r>
        <r>
          <rPr>
            <sz val="9"/>
            <color indexed="81"/>
            <rFont val="Tahoma"/>
            <charset val="1"/>
          </rPr>
          <t xml:space="preserve">
Scales with Perimeter, assumes 1m base.</t>
        </r>
      </text>
    </comment>
    <comment ref="C181" authorId="0">
      <text>
        <r>
          <rPr>
            <b/>
            <sz val="9"/>
            <color indexed="81"/>
            <rFont val="Tahoma"/>
            <family val="2"/>
          </rPr>
          <t>Doug Powell:</t>
        </r>
        <r>
          <rPr>
            <sz val="9"/>
            <color indexed="81"/>
            <rFont val="Tahoma"/>
            <family val="2"/>
          </rPr>
          <t xml:space="preserve">
40 ft HC container, Suntech packing standards
http://am.suntech-power.com/images/stories/pdf/datasheets/july2011/stp280_24vd_ulh4%20connector.pdf</t>
        </r>
      </text>
    </comment>
    <comment ref="B185" authorId="0">
      <text>
        <r>
          <rPr>
            <b/>
            <sz val="9"/>
            <color indexed="81"/>
            <rFont val="Tahoma"/>
            <family val="2"/>
          </rPr>
          <t>Doug Powell:</t>
        </r>
        <r>
          <rPr>
            <sz val="9"/>
            <color indexed="81"/>
            <rFont val="Tahoma"/>
            <family val="2"/>
          </rPr>
          <t xml:space="preserve">
Cost at port of shipment
</t>
        </r>
      </text>
    </comment>
  </commentList>
</comments>
</file>

<file path=xl/sharedStrings.xml><?xml version="1.0" encoding="utf-8"?>
<sst xmlns="http://schemas.openxmlformats.org/spreadsheetml/2006/main" count="1965" uniqueCount="274">
  <si>
    <t>[$/w]</t>
  </si>
  <si>
    <t>[%]</t>
  </si>
  <si>
    <t>[$]</t>
  </si>
  <si>
    <t>[$/W]</t>
  </si>
  <si>
    <t>[W]</t>
  </si>
  <si>
    <t>Shipping Cost</t>
  </si>
  <si>
    <t>Total</t>
  </si>
  <si>
    <t>Efficiency</t>
  </si>
  <si>
    <t>Cost [$/W]</t>
  </si>
  <si>
    <t>Cost [$/cell]</t>
  </si>
  <si>
    <t>Encapsulant</t>
  </si>
  <si>
    <t>Back Sheet</t>
  </si>
  <si>
    <t>Frame</t>
  </si>
  <si>
    <t>JB and Cable</t>
  </si>
  <si>
    <t>Ribbon</t>
  </si>
  <si>
    <t>Glass</t>
  </si>
  <si>
    <t>Cell Thickness</t>
  </si>
  <si>
    <t>[$/kg]</t>
  </si>
  <si>
    <t>Silicon Density</t>
  </si>
  <si>
    <t>[kg/cell]</t>
  </si>
  <si>
    <t>[kg/m^3]</t>
  </si>
  <si>
    <t>[$/cell]</t>
  </si>
  <si>
    <t xml:space="preserve">Labor </t>
  </si>
  <si>
    <t>[$/hr]</t>
  </si>
  <si>
    <t>[MW/yr]</t>
  </si>
  <si>
    <t>[kWh/W]</t>
  </si>
  <si>
    <t>Electricity Cost</t>
  </si>
  <si>
    <t>[$/kwh]</t>
  </si>
  <si>
    <t>Input Electricity</t>
  </si>
  <si>
    <t>Packaging</t>
  </si>
  <si>
    <t>Plant Output</t>
  </si>
  <si>
    <t>[-]</t>
  </si>
  <si>
    <t>Payment</t>
  </si>
  <si>
    <t>[$/yr]</t>
  </si>
  <si>
    <t>[m^2/yr]</t>
  </si>
  <si>
    <t>[$/m^2]</t>
  </si>
  <si>
    <t>Silicon Feedstock</t>
  </si>
  <si>
    <t>Labor</t>
  </si>
  <si>
    <t>Yield Loss</t>
  </si>
  <si>
    <t>Adder [$/W]</t>
  </si>
  <si>
    <t>Adder [$/cell]</t>
  </si>
  <si>
    <t>Inputs</t>
  </si>
  <si>
    <t>Metal Paste</t>
  </si>
  <si>
    <t>Wafer</t>
  </si>
  <si>
    <t>Cell</t>
  </si>
  <si>
    <t>Module</t>
  </si>
  <si>
    <t>Module Efficiency</t>
  </si>
  <si>
    <t>Total multiplier</t>
  </si>
  <si>
    <t>Drop per double</t>
  </si>
  <si>
    <t>Number of Doublings</t>
  </si>
  <si>
    <t>Material Yield</t>
  </si>
  <si>
    <t>Value</t>
  </si>
  <si>
    <t>Reference Power per Cell</t>
  </si>
  <si>
    <t>Labor Cost</t>
  </si>
  <si>
    <t>Dollars per Cell</t>
  </si>
  <si>
    <t>Cost Breakdown</t>
  </si>
  <si>
    <t>Doug Powell</t>
  </si>
  <si>
    <t>Calculations</t>
  </si>
  <si>
    <t>Item</t>
  </si>
  <si>
    <t>Outputs</t>
  </si>
  <si>
    <t>Unit</t>
  </si>
  <si>
    <t>Module Efficiency [%]</t>
  </si>
  <si>
    <t>Material Yield [-]</t>
  </si>
  <si>
    <t>Silicon Cost [$/kg]</t>
  </si>
  <si>
    <t>Labor [$/hr]</t>
  </si>
  <si>
    <t>Learning Multiplier</t>
  </si>
  <si>
    <t>Other Costs</t>
  </si>
  <si>
    <t>Yield</t>
  </si>
  <si>
    <t>Tech Multiplier</t>
  </si>
  <si>
    <t>Percentage</t>
  </si>
  <si>
    <t>Shipping Costs from China to US</t>
  </si>
  <si>
    <t>Shipping Costs</t>
  </si>
  <si>
    <t>[$/container]</t>
  </si>
  <si>
    <t>Shipping costs</t>
  </si>
  <si>
    <t>Watts in container</t>
  </si>
  <si>
    <t>Other</t>
  </si>
  <si>
    <t>Import Duty (FOB)</t>
  </si>
  <si>
    <t>Screens</t>
  </si>
  <si>
    <t>Key Inputs and Assumptions</t>
  </si>
  <si>
    <t>[g/Wp]</t>
  </si>
  <si>
    <t>Silicon Use</t>
  </si>
  <si>
    <t>Electricity</t>
  </si>
  <si>
    <t>Ingot Casting</t>
  </si>
  <si>
    <t xml:space="preserve">Cell </t>
  </si>
  <si>
    <t>Is Imported</t>
  </si>
  <si>
    <t>Import Duty</t>
  </si>
  <si>
    <t>[kWh/kg]</t>
  </si>
  <si>
    <t>Wafer Electricity Cost</t>
  </si>
  <si>
    <t>Total Energy Cost</t>
  </si>
  <si>
    <t>Cell Electricity Cost</t>
  </si>
  <si>
    <t>Reference Plant Output</t>
  </si>
  <si>
    <t>People for Ingot</t>
  </si>
  <si>
    <t>People for Wafer</t>
  </si>
  <si>
    <t>People for Cell</t>
  </si>
  <si>
    <t>People for Module</t>
  </si>
  <si>
    <t>[people]</t>
  </si>
  <si>
    <t>Hours per year per Person</t>
  </si>
  <si>
    <t>[hrs/yr]</t>
  </si>
  <si>
    <t>[people hours/m^2]</t>
  </si>
  <si>
    <t>Wafer labor cost per area</t>
  </si>
  <si>
    <t>Cell labor cost per area</t>
  </si>
  <si>
    <t>Module labor cost per area</t>
  </si>
  <si>
    <t>Wafer labor hours per area</t>
  </si>
  <si>
    <t>Cell labor hours per area</t>
  </si>
  <si>
    <t>Module labor hours per area</t>
  </si>
  <si>
    <t>[W/m^2]</t>
  </si>
  <si>
    <t>Wafer labor cost</t>
  </si>
  <si>
    <t>Cell labor cost</t>
  </si>
  <si>
    <t>Module labor cost</t>
  </si>
  <si>
    <t>Allotment [$/W]</t>
  </si>
  <si>
    <t>NA</t>
  </si>
  <si>
    <t>Allotment Specific Modifier [$/W]</t>
  </si>
  <si>
    <t>Wire Sawing</t>
  </si>
  <si>
    <t>Wafering Yield</t>
  </si>
  <si>
    <t>Cell Process Yield</t>
  </si>
  <si>
    <t>Module Process Yield</t>
  </si>
  <si>
    <t>Value during wafer breakage</t>
  </si>
  <si>
    <t>Value during cell breakage</t>
  </si>
  <si>
    <t>Value during module breakage</t>
  </si>
  <si>
    <t>Wafer Yield Loss</t>
  </si>
  <si>
    <t>Cell Yield Loss</t>
  </si>
  <si>
    <t>Module Yield Loss</t>
  </si>
  <si>
    <t>Total Yield Loss</t>
  </si>
  <si>
    <t>Shipping Yield</t>
  </si>
  <si>
    <t>Value during shipping</t>
  </si>
  <si>
    <t>Shipping Yield Loss</t>
  </si>
  <si>
    <t>Maintenance</t>
  </si>
  <si>
    <t>[m^2]</t>
  </si>
  <si>
    <t>Capacity</t>
  </si>
  <si>
    <t>[MW]</t>
  </si>
  <si>
    <t>Reference Module Efficiency</t>
  </si>
  <si>
    <t>Investment [$]</t>
  </si>
  <si>
    <t>Ingot + Wafer</t>
  </si>
  <si>
    <t>[yrs]</t>
  </si>
  <si>
    <t>Payment [$/yr]</t>
  </si>
  <si>
    <t>Payment [$/W]</t>
  </si>
  <si>
    <t>Total [$/W]</t>
  </si>
  <si>
    <t xml:space="preserve">Payment </t>
  </si>
  <si>
    <t>Floor space [m^2]</t>
  </si>
  <si>
    <t>Amount initial investment per year</t>
  </si>
  <si>
    <t>Actual Cell output per m^2</t>
  </si>
  <si>
    <t>Module Electricity Cost</t>
  </si>
  <si>
    <t>Silicon Use [g/Wp]</t>
  </si>
  <si>
    <t>Results Summary</t>
  </si>
  <si>
    <t>Model Description</t>
  </si>
  <si>
    <r>
      <t>Calculates amount of worker hours per m</t>
    </r>
    <r>
      <rPr>
        <vertAlign val="superscript"/>
        <sz val="11"/>
        <color theme="1"/>
        <rFont val="Calibri"/>
        <family val="2"/>
        <scheme val="minor"/>
      </rPr>
      <t>2</t>
    </r>
    <r>
      <rPr>
        <sz val="11"/>
        <color theme="1"/>
        <rFont val="Calibri"/>
        <family val="2"/>
        <scheme val="minor"/>
      </rPr>
      <t xml:space="preserve"> of production for wafer, cell, and module production steps.  Then calculates cost.</t>
    </r>
  </si>
  <si>
    <t>Calculates total amount of electricity used for wafer, cell, and module production steps.  Then calculates cost.</t>
  </si>
  <si>
    <t>Calculates kg silicon per cell based on wafer thickness, wafering yield, and manufacturing mechanical yield. Then calculates cost.</t>
  </si>
  <si>
    <t>Cost Category</t>
  </si>
  <si>
    <t>Allocates cost of broken wafers, cells, and modules with breakage assumed to occur at the end of a processing step.</t>
  </si>
  <si>
    <t xml:space="preserve">Percentage of initial capital investment spent per year on maintenance </t>
  </si>
  <si>
    <t>Import duty percentage</t>
  </si>
  <si>
    <t>Calculates import duty based on product cost at port of shipment.</t>
  </si>
  <si>
    <t>Mechanical yields for wafering, cell fabrication, module fabrication, and shipping process steps</t>
  </si>
  <si>
    <t>Calculates yearly maintenance costs and amortizes them onto product cost.</t>
  </si>
  <si>
    <r>
      <t>Cell Thickness [</t>
    </r>
    <r>
      <rPr>
        <sz val="11"/>
        <color theme="1"/>
        <rFont val="Calibri"/>
        <family val="2"/>
      </rPr>
      <t>μ</t>
    </r>
    <r>
      <rPr>
        <sz val="11"/>
        <color theme="1"/>
        <rFont val="Calibri"/>
        <family val="2"/>
        <scheme val="minor"/>
      </rPr>
      <t>m]</t>
    </r>
  </si>
  <si>
    <t>Electricity Cost [$/kWh]</t>
  </si>
  <si>
    <t>Figure showing % change in cost over % change in variable versus process inputs:</t>
  </si>
  <si>
    <t>Silicon price, wafer thickness, wafering yield, mechanical yields, module efficiency</t>
  </si>
  <si>
    <t>Number of employees required per MW/yr of production for wafer, cell, and module steps at reference module efficiency, module efficiency</t>
  </si>
  <si>
    <t>Investment for wafer, cell, and module steps at reference plant size and module efficiency, financing rate and term, plant lifetime, module efficiency</t>
  </si>
  <si>
    <t>Amount of electricity kWh/kg for ingot solidification and kWh/W at reference cell efficiency for wafer slicing, cell, and module steps, module efficiency</t>
  </si>
  <si>
    <t>Reference cost at reference module efficiency, module efficiency</t>
  </si>
  <si>
    <t>Reference cost at reference module efficiency, module efficiency, economy of scale multiplier</t>
  </si>
  <si>
    <t>Calculates total wattage of panels that can be placed in a container.  Then calculates cost.</t>
  </si>
  <si>
    <t>Calculates cost of ingot casting based on Centrotherm estimates.</t>
  </si>
  <si>
    <t>Calculates cost of wafer sawing based on Centrotherm estimates.</t>
  </si>
  <si>
    <t>Baseline Cost</t>
  </si>
  <si>
    <t>Factor</t>
  </si>
  <si>
    <t>For 2% change in variable</t>
  </si>
  <si>
    <t>Percent Change over Percent Change</t>
  </si>
  <si>
    <t>General Sensitivity Study</t>
  </si>
  <si>
    <t>Waterfall setup</t>
  </si>
  <si>
    <t>Bottom</t>
  </si>
  <si>
    <t>Delta</t>
  </si>
  <si>
    <t>2020 Adv. Concept</t>
  </si>
  <si>
    <t>Chemicals</t>
  </si>
  <si>
    <t>Maxed Out Cost [$/Wp]</t>
  </si>
  <si>
    <t>Cost [$/Wp] at 2% change in variable</t>
  </si>
  <si>
    <t>Percent Change in module cost</t>
  </si>
  <si>
    <t>2020 LOS</t>
  </si>
  <si>
    <t>Cost Waterfall</t>
  </si>
  <si>
    <t>Waterfall Step 1: High efficiency</t>
  </si>
  <si>
    <t>Waterfall Step 2: Thin Kerfless Wafers</t>
  </si>
  <si>
    <t>Waterfall Bars</t>
  </si>
  <si>
    <t>Error Bars</t>
  </si>
  <si>
    <t>High</t>
  </si>
  <si>
    <t>Low</t>
  </si>
  <si>
    <t>[g/cell]</t>
  </si>
  <si>
    <t>Cost of Metal Paste</t>
  </si>
  <si>
    <t>Shipping</t>
  </si>
  <si>
    <t>Glass Cost</t>
  </si>
  <si>
    <t>Depreciation</t>
  </si>
  <si>
    <t>Percent</t>
  </si>
  <si>
    <t>Total [MM/MW]</t>
  </si>
  <si>
    <t>Cardboard cost</t>
  </si>
  <si>
    <t>Area Utilization</t>
  </si>
  <si>
    <t>Number of Cells per Module</t>
  </si>
  <si>
    <t>Area of module</t>
  </si>
  <si>
    <t>[m^2/module]</t>
  </si>
  <si>
    <t>[cells/module]</t>
  </si>
  <si>
    <t>Power Out Per Module</t>
  </si>
  <si>
    <t>[W/module]</t>
  </si>
  <si>
    <t>Power</t>
  </si>
  <si>
    <t>Mass of Si per Cell without breakage</t>
  </si>
  <si>
    <t>Payment [$/m^2 Product]</t>
  </si>
  <si>
    <t>[$/m^2 Product]</t>
  </si>
  <si>
    <t>People per Watt Output</t>
  </si>
  <si>
    <t>[$/Module]</t>
  </si>
  <si>
    <t>Cost of Packaging</t>
  </si>
  <si>
    <t>[People/MW]</t>
  </si>
  <si>
    <t>[W/container]</t>
  </si>
  <si>
    <t>Ingot Solidification Need at Ref Efficiency</t>
  </si>
  <si>
    <t>Wafering Need at Ref Efficiency</t>
  </si>
  <si>
    <t>Cell Need at Ref Efficiency</t>
  </si>
  <si>
    <t>Module Need at Ref Efficiency</t>
  </si>
  <si>
    <t>Frame Cost</t>
  </si>
  <si>
    <t>Backsheet Cost</t>
  </si>
  <si>
    <t>Encapsulant Cost</t>
  </si>
  <si>
    <t>Reference Cell number</t>
  </si>
  <si>
    <t>Reference Module Area</t>
  </si>
  <si>
    <t>Screen Prints per cell</t>
  </si>
  <si>
    <t>Lifetime of Screen</t>
  </si>
  <si>
    <t>[prints]</t>
  </si>
  <si>
    <t>Cost of Screen</t>
  </si>
  <si>
    <t>[prints/cell]</t>
  </si>
  <si>
    <t>Contract Silicon Price</t>
  </si>
  <si>
    <t>Mfg. and Module</t>
  </si>
  <si>
    <t>Cost of Silver Paste</t>
  </si>
  <si>
    <t>Silver Paste utilization</t>
  </si>
  <si>
    <t>Cost of Al Paste</t>
  </si>
  <si>
    <t>Al Paste utilization</t>
  </si>
  <si>
    <t>Calculates cost of metal paste based on amount of aluminum and silver paste used and their respective costs.</t>
  </si>
  <si>
    <t>Amount of aluminum and silver paste used per cell.  Cost of aluminum and silver paste.</t>
  </si>
  <si>
    <t>Total Investment [$]</t>
  </si>
  <si>
    <t>Equipment Payment [$/yr]</t>
  </si>
  <si>
    <t>Facility Payment [$/yr]</t>
  </si>
  <si>
    <t>Series</t>
  </si>
  <si>
    <t>Label</t>
  </si>
  <si>
    <t>Reference cost at reference module efficiency, module efficiency, types of gasses used</t>
  </si>
  <si>
    <t>Payment at reference plant output</t>
  </si>
  <si>
    <r>
      <t>[</t>
    </r>
    <r>
      <rPr>
        <sz val="11"/>
        <color theme="1"/>
        <rFont val="Calibri"/>
        <family val="2"/>
      </rPr>
      <t>μ</t>
    </r>
    <r>
      <rPr>
        <sz val="11"/>
        <color theme="1"/>
        <rFont val="Calibri"/>
        <family val="2"/>
        <scheme val="minor"/>
      </rPr>
      <t>m]</t>
    </r>
  </si>
  <si>
    <t>Bottom-up cost estimate for standard mc-Si in 2012 with US manufacturing</t>
  </si>
  <si>
    <t>Calculate cost of boxing and wrapping.</t>
  </si>
  <si>
    <t>Cardboard Cost</t>
  </si>
  <si>
    <t>Summary of cost categories</t>
  </si>
  <si>
    <t>Depreciates equipment investment over 5 years, and building over 39 years, and amortizes this cost onto production.</t>
  </si>
  <si>
    <t xml:space="preserve">Calculates cost of glass based on GTM research estimates.  </t>
  </si>
  <si>
    <t>Calculates cost of module frames based on GTM research estimates.</t>
  </si>
  <si>
    <t>Calculates cost of cell encapsulants based on GTM research estimates.</t>
  </si>
  <si>
    <t xml:space="preserve">Calculates cost of junction boxes and cables based on GTM research estimates.  </t>
  </si>
  <si>
    <t xml:space="preserve">Calculates cost of chemicals based on GTM research estimates. </t>
  </si>
  <si>
    <t>Calculates cost of back sheets based on GTM research estimates.</t>
  </si>
  <si>
    <t>Calculates cost of tabbing ribbon based on GTM research estimates</t>
  </si>
  <si>
    <t>Calculates cost of screens based on GTM research estimates.</t>
  </si>
  <si>
    <t>Shipping rate, module efficiency, number of modules per pallet</t>
  </si>
  <si>
    <t>Case</t>
  </si>
  <si>
    <t>Crystalline Silicon Solar Module Bottom-Up Cost Estimator, Version 1.0</t>
  </si>
  <si>
    <t>Bottom-up cost estimate for line of sight innovation in 2020 with US manufacturing</t>
  </si>
  <si>
    <t>MIT Photovoltaic Research Laboratory</t>
  </si>
  <si>
    <t>[$/Module] at Reference Area</t>
  </si>
  <si>
    <t>[$/Module] at actual area</t>
  </si>
  <si>
    <t>Feb 2012</t>
  </si>
  <si>
    <t>Reference cost at reference module area</t>
  </si>
  <si>
    <t>Reference cost at reference module perimeter</t>
  </si>
  <si>
    <t>Reference cost at reference module power</t>
  </si>
  <si>
    <t>Maxed Delta [$/Wp]</t>
  </si>
  <si>
    <t>Module cost Component [$/W]</t>
  </si>
  <si>
    <t>Equipment Depreciation Period</t>
  </si>
  <si>
    <t>Facility Depreciation Period</t>
  </si>
  <si>
    <t>Individual Investment [MM/MW]</t>
  </si>
  <si>
    <t>Waterfall Step 3: Manufacturing and module innovations</t>
  </si>
  <si>
    <t># Supplementary Material (ESI) for Energy &amp; Environmental Science</t>
  </si>
  <si>
    <t># This journal is (c) The Royal Society of Chemistry 2012</t>
  </si>
</sst>
</file>

<file path=xl/styles.xml><?xml version="1.0" encoding="utf-8"?>
<styleSheet xmlns="http://schemas.openxmlformats.org/spreadsheetml/2006/main">
  <numFmts count="3">
    <numFmt numFmtId="164" formatCode="0.000"/>
    <numFmt numFmtId="165" formatCode="0.00000000000000"/>
    <numFmt numFmtId="166" formatCode="0.0000000000000000"/>
  </numFmts>
  <fonts count="20">
    <font>
      <sz val="11"/>
      <color theme="1"/>
      <name val="Calibri"/>
      <family val="2"/>
      <scheme val="minor"/>
    </font>
    <font>
      <b/>
      <sz val="11"/>
      <color theme="1"/>
      <name val="Calibri"/>
      <family val="2"/>
      <scheme val="minor"/>
    </font>
    <font>
      <u/>
      <sz val="11"/>
      <color theme="10"/>
      <name val="Calibri"/>
      <family val="2"/>
    </font>
    <font>
      <sz val="9"/>
      <color indexed="81"/>
      <name val="Tahoma"/>
      <family val="2"/>
    </font>
    <font>
      <b/>
      <sz val="9"/>
      <color indexed="81"/>
      <name val="Tahoma"/>
      <family val="2"/>
    </font>
    <font>
      <b/>
      <sz val="20"/>
      <color theme="1"/>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26"/>
      <color theme="1"/>
      <name val="Calibri"/>
      <family val="2"/>
      <scheme val="minor"/>
    </font>
    <font>
      <sz val="11"/>
      <name val="Calibri"/>
      <family val="2"/>
      <scheme val="minor"/>
    </font>
    <font>
      <sz val="11"/>
      <color theme="0" tint="-0.34998626667073579"/>
      <name val="Calibri"/>
      <family val="2"/>
      <scheme val="minor"/>
    </font>
    <font>
      <b/>
      <sz val="11"/>
      <name val="Calibri"/>
      <family val="2"/>
      <scheme val="minor"/>
    </font>
    <font>
      <vertAlign val="superscript"/>
      <sz val="11"/>
      <color theme="1"/>
      <name val="Calibri"/>
      <family val="2"/>
      <scheme val="minor"/>
    </font>
    <font>
      <sz val="11"/>
      <color theme="1"/>
      <name val="Calibri"/>
      <family val="2"/>
    </font>
    <font>
      <sz val="12"/>
      <color theme="1"/>
      <name val="Times New Roman"/>
      <family val="1"/>
    </font>
    <font>
      <sz val="11"/>
      <color theme="1"/>
      <name val="Calibri"/>
      <family val="2"/>
      <scheme val="minor"/>
    </font>
    <font>
      <b/>
      <sz val="12"/>
      <color theme="1"/>
      <name val="Times New Roman"/>
      <family val="1"/>
    </font>
    <font>
      <sz val="9"/>
      <color indexed="81"/>
      <name val="Tahoma"/>
      <charset val="1"/>
    </font>
    <font>
      <b/>
      <sz val="9"/>
      <color indexed="81"/>
      <name val="Tahoma"/>
      <charset val="1"/>
    </font>
  </fonts>
  <fills count="16">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6" tint="0.59999389629810485"/>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912">
    <xf numFmtId="0" fontId="0" fillId="0" borderId="0" xfId="0"/>
    <xf numFmtId="0" fontId="2" fillId="0" borderId="0" xfId="1" applyAlignment="1" applyProtection="1"/>
    <xf numFmtId="0" fontId="0" fillId="0" borderId="2" xfId="0" applyBorder="1"/>
    <xf numFmtId="164" fontId="0" fillId="0" borderId="0" xfId="0" applyNumberFormat="1"/>
    <xf numFmtId="0" fontId="0" fillId="0" borderId="7" xfId="0" applyBorder="1"/>
    <xf numFmtId="0" fontId="0" fillId="0" borderId="7" xfId="0" applyFill="1" applyBorder="1"/>
    <xf numFmtId="2" fontId="0" fillId="0" borderId="0" xfId="0" applyNumberFormat="1"/>
    <xf numFmtId="0" fontId="1" fillId="0" borderId="0" xfId="0" applyFont="1" applyFill="1" applyBorder="1"/>
    <xf numFmtId="164" fontId="0" fillId="0" borderId="0" xfId="0" applyNumberFormat="1" applyFill="1" applyBorder="1"/>
    <xf numFmtId="2" fontId="1" fillId="0" borderId="0" xfId="0" applyNumberFormat="1" applyFont="1" applyFill="1" applyBorder="1"/>
    <xf numFmtId="0" fontId="0" fillId="0" borderId="0" xfId="0" applyFill="1"/>
    <xf numFmtId="0" fontId="0" fillId="0" borderId="0" xfId="0"/>
    <xf numFmtId="0" fontId="1" fillId="0" borderId="0" xfId="0" applyFont="1" applyBorder="1"/>
    <xf numFmtId="0" fontId="0" fillId="0" borderId="0" xfId="0"/>
    <xf numFmtId="0" fontId="1" fillId="0" borderId="0" xfId="0" applyFont="1"/>
    <xf numFmtId="164" fontId="0" fillId="0" borderId="0" xfId="0" applyNumberFormat="1" applyBorder="1"/>
    <xf numFmtId="0" fontId="0" fillId="0" borderId="0" xfId="0" applyFill="1" applyBorder="1"/>
    <xf numFmtId="0" fontId="0" fillId="0" borderId="12" xfId="0" applyBorder="1"/>
    <xf numFmtId="164" fontId="0" fillId="0" borderId="13" xfId="0" applyNumberFormat="1" applyBorder="1"/>
    <xf numFmtId="0" fontId="0" fillId="0" borderId="14" xfId="0" applyFill="1" applyBorder="1"/>
    <xf numFmtId="164" fontId="0" fillId="0" borderId="15" xfId="0" applyNumberFormat="1" applyBorder="1"/>
    <xf numFmtId="0" fontId="0" fillId="0" borderId="14" xfId="0" applyBorder="1"/>
    <xf numFmtId="164" fontId="0" fillId="0" borderId="5" xfId="0" applyNumberFormat="1" applyBorder="1"/>
    <xf numFmtId="0" fontId="0" fillId="0" borderId="4" xfId="0" applyFill="1" applyBorder="1"/>
    <xf numFmtId="0" fontId="0" fillId="0" borderId="17" xfId="0" applyBorder="1"/>
    <xf numFmtId="0" fontId="1" fillId="0" borderId="1" xfId="0" applyFont="1" applyBorder="1"/>
    <xf numFmtId="164" fontId="0" fillId="0" borderId="11" xfId="0" applyNumberFormat="1" applyBorder="1"/>
    <xf numFmtId="164" fontId="0" fillId="0" borderId="9" xfId="0" applyNumberFormat="1" applyBorder="1"/>
    <xf numFmtId="0" fontId="5" fillId="0" borderId="0" xfId="0" applyFont="1"/>
    <xf numFmtId="0" fontId="6" fillId="0" borderId="0" xfId="0" applyFont="1"/>
    <xf numFmtId="0" fontId="0" fillId="0" borderId="0" xfId="0" quotePrefix="1"/>
    <xf numFmtId="0" fontId="1" fillId="0" borderId="11" xfId="0" applyFont="1" applyBorder="1" applyAlignment="1">
      <alignment horizontal="center"/>
    </xf>
    <xf numFmtId="0" fontId="1" fillId="0" borderId="20" xfId="0" applyFont="1" applyBorder="1" applyAlignment="1">
      <alignment horizontal="center"/>
    </xf>
    <xf numFmtId="0" fontId="0" fillId="0" borderId="20" xfId="0" applyBorder="1"/>
    <xf numFmtId="0" fontId="1" fillId="0" borderId="22" xfId="0" applyFont="1" applyBorder="1" applyAlignment="1">
      <alignment horizontal="center"/>
    </xf>
    <xf numFmtId="0" fontId="1" fillId="0" borderId="10" xfId="0" applyFont="1" applyBorder="1"/>
    <xf numFmtId="0" fontId="0" fillId="0" borderId="9" xfId="0" applyFill="1" applyBorder="1"/>
    <xf numFmtId="0" fontId="1" fillId="0" borderId="18" xfId="0" applyFont="1" applyBorder="1"/>
    <xf numFmtId="0" fontId="1" fillId="0" borderId="19" xfId="0" applyFont="1" applyBorder="1" applyAlignment="1">
      <alignment horizontal="center"/>
    </xf>
    <xf numFmtId="0" fontId="1" fillId="0" borderId="24" xfId="0" applyFont="1" applyBorder="1" applyAlignment="1">
      <alignment horizontal="center"/>
    </xf>
    <xf numFmtId="0" fontId="0" fillId="0" borderId="25" xfId="0" applyBorder="1"/>
    <xf numFmtId="0" fontId="0" fillId="0" borderId="26" xfId="0" applyBorder="1"/>
    <xf numFmtId="164" fontId="1" fillId="0" borderId="18" xfId="0" applyNumberFormat="1" applyFont="1" applyBorder="1"/>
    <xf numFmtId="0" fontId="0" fillId="2" borderId="22" xfId="0" applyFill="1" applyBorder="1"/>
    <xf numFmtId="0" fontId="0" fillId="2" borderId="20" xfId="0" applyFill="1" applyBorder="1"/>
    <xf numFmtId="164" fontId="0" fillId="2" borderId="20" xfId="0" applyNumberFormat="1" applyFill="1" applyBorder="1"/>
    <xf numFmtId="0" fontId="0" fillId="3" borderId="7" xfId="0" applyFill="1" applyBorder="1"/>
    <xf numFmtId="164" fontId="0" fillId="3" borderId="7" xfId="0" applyNumberFormat="1" applyFill="1" applyBorder="1"/>
    <xf numFmtId="164" fontId="0" fillId="4" borderId="0" xfId="0" applyNumberFormat="1" applyFill="1" applyBorder="1"/>
    <xf numFmtId="0" fontId="0" fillId="4" borderId="23" xfId="0" applyFill="1" applyBorder="1"/>
    <xf numFmtId="0" fontId="0" fillId="4" borderId="7" xfId="0" applyFill="1" applyBorder="1"/>
    <xf numFmtId="0" fontId="0" fillId="4" borderId="7" xfId="0" applyNumberFormat="1" applyFill="1" applyBorder="1"/>
    <xf numFmtId="164" fontId="0" fillId="4" borderId="7" xfId="0" applyNumberFormat="1" applyFill="1" applyBorder="1"/>
    <xf numFmtId="0" fontId="0" fillId="5" borderId="0" xfId="0" applyFill="1" applyBorder="1"/>
    <xf numFmtId="0" fontId="0" fillId="5" borderId="23" xfId="0" applyFill="1" applyBorder="1"/>
    <xf numFmtId="164" fontId="0" fillId="5" borderId="7" xfId="0" applyNumberFormat="1" applyFill="1" applyBorder="1"/>
    <xf numFmtId="0" fontId="0" fillId="5" borderId="7" xfId="0" applyFill="1" applyBorder="1"/>
    <xf numFmtId="0" fontId="0" fillId="3" borderId="0" xfId="0" applyFill="1" applyBorder="1"/>
    <xf numFmtId="0" fontId="0" fillId="6" borderId="0" xfId="0" applyFill="1" applyBorder="1"/>
    <xf numFmtId="164" fontId="0" fillId="6" borderId="7" xfId="0" applyNumberFormat="1" applyFill="1" applyBorder="1"/>
    <xf numFmtId="0" fontId="0" fillId="6" borderId="7" xfId="0" applyFill="1" applyBorder="1"/>
    <xf numFmtId="0" fontId="0" fillId="7" borderId="0" xfId="0" applyFill="1" applyBorder="1"/>
    <xf numFmtId="164" fontId="0" fillId="7" borderId="7" xfId="0" applyNumberFormat="1" applyFill="1" applyBorder="1"/>
    <xf numFmtId="0" fontId="0" fillId="8" borderId="0" xfId="0" applyFill="1" applyBorder="1"/>
    <xf numFmtId="0" fontId="0" fillId="8" borderId="7" xfId="0" applyFill="1" applyBorder="1"/>
    <xf numFmtId="164" fontId="0" fillId="8" borderId="7" xfId="0" applyNumberFormat="1" applyFill="1" applyBorder="1"/>
    <xf numFmtId="0" fontId="0" fillId="0" borderId="8" xfId="0" applyBorder="1"/>
    <xf numFmtId="0" fontId="0" fillId="2" borderId="7" xfId="0" applyFill="1" applyBorder="1"/>
    <xf numFmtId="2" fontId="0" fillId="2" borderId="0" xfId="0" applyNumberFormat="1" applyFill="1" applyBorder="1"/>
    <xf numFmtId="0" fontId="0" fillId="2" borderId="8" xfId="0" applyFill="1" applyBorder="1"/>
    <xf numFmtId="0" fontId="0" fillId="4" borderId="8" xfId="0" applyFill="1" applyBorder="1"/>
    <xf numFmtId="2" fontId="0" fillId="6" borderId="0" xfId="0" applyNumberFormat="1" applyFill="1" applyBorder="1"/>
    <xf numFmtId="0" fontId="0" fillId="6" borderId="8" xfId="0" applyFill="1" applyBorder="1"/>
    <xf numFmtId="0" fontId="0" fillId="3" borderId="8" xfId="0" applyFill="1" applyBorder="1"/>
    <xf numFmtId="0" fontId="1" fillId="3" borderId="33" xfId="0" applyFont="1" applyFill="1" applyBorder="1"/>
    <xf numFmtId="2" fontId="0" fillId="3" borderId="34" xfId="0" applyNumberFormat="1" applyFill="1" applyBorder="1"/>
    <xf numFmtId="0" fontId="0" fillId="3" borderId="35" xfId="0" applyFill="1" applyBorder="1"/>
    <xf numFmtId="0" fontId="1" fillId="6" borderId="33" xfId="0" applyFont="1" applyFill="1" applyBorder="1"/>
    <xf numFmtId="2" fontId="0" fillId="6" borderId="34" xfId="0" applyNumberFormat="1" applyFill="1" applyBorder="1"/>
    <xf numFmtId="0" fontId="0" fillId="6" borderId="35" xfId="0" applyFill="1" applyBorder="1"/>
    <xf numFmtId="0" fontId="1" fillId="4" borderId="33" xfId="0" applyFont="1" applyFill="1" applyBorder="1"/>
    <xf numFmtId="2" fontId="0" fillId="4" borderId="34" xfId="0" applyNumberFormat="1" applyFill="1" applyBorder="1"/>
    <xf numFmtId="0" fontId="0" fillId="4" borderId="35" xfId="0" applyFill="1" applyBorder="1"/>
    <xf numFmtId="0" fontId="1" fillId="2" borderId="33" xfId="0" applyFont="1" applyFill="1" applyBorder="1"/>
    <xf numFmtId="0" fontId="0" fillId="2" borderId="34" xfId="0" applyFill="1" applyBorder="1"/>
    <xf numFmtId="0" fontId="0" fillId="2" borderId="35" xfId="0" applyFill="1" applyBorder="1"/>
    <xf numFmtId="0" fontId="0" fillId="8" borderId="8" xfId="0" applyFill="1" applyBorder="1"/>
    <xf numFmtId="164" fontId="0" fillId="8" borderId="0" xfId="0" applyNumberFormat="1" applyFill="1" applyBorder="1"/>
    <xf numFmtId="0" fontId="1" fillId="8" borderId="33" xfId="0" applyFont="1" applyFill="1" applyBorder="1"/>
    <xf numFmtId="0" fontId="0" fillId="8" borderId="34" xfId="0" applyFill="1" applyBorder="1"/>
    <xf numFmtId="0" fontId="0" fillId="8" borderId="35" xfId="0" applyFill="1" applyBorder="1"/>
    <xf numFmtId="0" fontId="0" fillId="9" borderId="9" xfId="0" applyFill="1" applyBorder="1"/>
    <xf numFmtId="164" fontId="0" fillId="9" borderId="0" xfId="0" applyNumberFormat="1" applyFill="1" applyBorder="1"/>
    <xf numFmtId="0" fontId="0" fillId="9" borderId="23" xfId="0" applyFill="1" applyBorder="1"/>
    <xf numFmtId="0" fontId="0" fillId="9" borderId="7" xfId="0" applyFill="1" applyBorder="1"/>
    <xf numFmtId="164" fontId="0" fillId="9" borderId="7" xfId="0" applyNumberFormat="1" applyFill="1" applyBorder="1"/>
    <xf numFmtId="0" fontId="0" fillId="9" borderId="0" xfId="0" applyFill="1" applyBorder="1"/>
    <xf numFmtId="0" fontId="0" fillId="9" borderId="31" xfId="0" applyFill="1" applyBorder="1"/>
    <xf numFmtId="0" fontId="0" fillId="9" borderId="17" xfId="0" applyFill="1" applyBorder="1"/>
    <xf numFmtId="0" fontId="1" fillId="9" borderId="33" xfId="0" applyFont="1" applyFill="1" applyBorder="1"/>
    <xf numFmtId="0" fontId="0" fillId="9" borderId="34" xfId="0" applyFill="1" applyBorder="1"/>
    <xf numFmtId="2" fontId="0" fillId="2" borderId="20" xfId="0" applyNumberFormat="1" applyFill="1" applyBorder="1"/>
    <xf numFmtId="2" fontId="0" fillId="7" borderId="7" xfId="0" applyNumberFormat="1" applyFill="1" applyBorder="1"/>
    <xf numFmtId="2" fontId="0" fillId="6" borderId="7" xfId="0" applyNumberFormat="1" applyFill="1" applyBorder="1"/>
    <xf numFmtId="2" fontId="0" fillId="3" borderId="7" xfId="0" applyNumberFormat="1" applyFill="1" applyBorder="1"/>
    <xf numFmtId="2" fontId="0" fillId="9" borderId="7" xfId="0" applyNumberFormat="1" applyFill="1" applyBorder="1"/>
    <xf numFmtId="2" fontId="0" fillId="4" borderId="7" xfId="0" applyNumberFormat="1" applyFill="1" applyBorder="1"/>
    <xf numFmtId="2" fontId="0" fillId="8" borderId="7" xfId="0" applyNumberFormat="1" applyFill="1" applyBorder="1"/>
    <xf numFmtId="2" fontId="0" fillId="5" borderId="7" xfId="0" applyNumberFormat="1" applyFill="1" applyBorder="1"/>
    <xf numFmtId="2" fontId="0" fillId="0" borderId="7" xfId="0" applyNumberFormat="1" applyBorder="1"/>
    <xf numFmtId="0" fontId="0" fillId="0" borderId="0" xfId="0"/>
    <xf numFmtId="0" fontId="0" fillId="0" borderId="0" xfId="0" applyBorder="1"/>
    <xf numFmtId="0" fontId="1" fillId="6" borderId="31" xfId="0" applyFont="1" applyFill="1" applyBorder="1"/>
    <xf numFmtId="0" fontId="1" fillId="6" borderId="32" xfId="0" applyFont="1" applyFill="1" applyBorder="1"/>
    <xf numFmtId="0" fontId="1" fillId="3" borderId="31" xfId="0" applyFont="1" applyFill="1" applyBorder="1"/>
    <xf numFmtId="0" fontId="1" fillId="3" borderId="32" xfId="0" applyFont="1" applyFill="1" applyBorder="1"/>
    <xf numFmtId="0" fontId="1" fillId="5" borderId="31" xfId="0" applyFont="1" applyFill="1" applyBorder="1"/>
    <xf numFmtId="164" fontId="1" fillId="5" borderId="17" xfId="0" applyNumberFormat="1" applyFont="1" applyFill="1" applyBorder="1"/>
    <xf numFmtId="0" fontId="1" fillId="5" borderId="32" xfId="0" applyFont="1" applyFill="1" applyBorder="1"/>
    <xf numFmtId="0" fontId="1" fillId="8" borderId="31" xfId="0" applyFont="1" applyFill="1" applyBorder="1"/>
    <xf numFmtId="164" fontId="1" fillId="8" borderId="17" xfId="0" applyNumberFormat="1" applyFont="1" applyFill="1" applyBorder="1"/>
    <xf numFmtId="0" fontId="1" fillId="8" borderId="32" xfId="0" applyFont="1" applyFill="1" applyBorder="1"/>
    <xf numFmtId="0" fontId="0" fillId="2" borderId="0" xfId="0" applyNumberFormat="1" applyFill="1" applyBorder="1"/>
    <xf numFmtId="0" fontId="0" fillId="0" borderId="13" xfId="0" applyBorder="1"/>
    <xf numFmtId="0" fontId="0" fillId="0" borderId="15" xfId="0" applyBorder="1"/>
    <xf numFmtId="0" fontId="0" fillId="0" borderId="6" xfId="0" applyBorder="1"/>
    <xf numFmtId="0" fontId="7" fillId="0" borderId="0" xfId="0" applyFont="1"/>
    <xf numFmtId="0" fontId="0" fillId="0" borderId="5" xfId="0" applyBorder="1"/>
    <xf numFmtId="0" fontId="0" fillId="0" borderId="27" xfId="0" applyFill="1" applyBorder="1"/>
    <xf numFmtId="2" fontId="0" fillId="0" borderId="0" xfId="0" applyNumberFormat="1" applyFill="1" applyBorder="1"/>
    <xf numFmtId="2" fontId="0" fillId="0" borderId="0" xfId="0" applyNumberFormat="1" applyBorder="1"/>
    <xf numFmtId="0" fontId="0" fillId="0" borderId="0" xfId="0" applyFont="1"/>
    <xf numFmtId="164" fontId="0" fillId="0" borderId="0" xfId="0" applyNumberFormat="1" applyFont="1" applyFill="1" applyBorder="1" applyAlignment="1">
      <alignment horizontal="center"/>
    </xf>
    <xf numFmtId="0" fontId="6" fillId="0" borderId="17" xfId="0" applyFont="1" applyBorder="1"/>
    <xf numFmtId="164" fontId="0" fillId="0" borderId="17" xfId="0" applyNumberFormat="1" applyBorder="1"/>
    <xf numFmtId="0" fontId="1" fillId="0" borderId="10" xfId="0" applyFont="1" applyBorder="1" applyAlignment="1">
      <alignment horizontal="center"/>
    </xf>
    <xf numFmtId="0" fontId="1" fillId="0" borderId="1" xfId="0" applyFont="1" applyFill="1" applyBorder="1"/>
    <xf numFmtId="0" fontId="0" fillId="0" borderId="11" xfId="0" applyBorder="1"/>
    <xf numFmtId="164" fontId="0" fillId="0" borderId="12" xfId="0" applyNumberFormat="1" applyBorder="1"/>
    <xf numFmtId="164" fontId="0" fillId="0" borderId="14" xfId="0" applyNumberFormat="1" applyBorder="1"/>
    <xf numFmtId="0" fontId="0" fillId="0" borderId="7" xfId="0" applyBorder="1" applyAlignment="1">
      <alignment horizontal="right"/>
    </xf>
    <xf numFmtId="0" fontId="1" fillId="0" borderId="7" xfId="0" applyFont="1" applyBorder="1" applyAlignment="1">
      <alignment horizontal="right"/>
    </xf>
    <xf numFmtId="164" fontId="0" fillId="5" borderId="14" xfId="0" applyNumberFormat="1" applyFill="1" applyBorder="1"/>
    <xf numFmtId="164" fontId="0" fillId="6" borderId="14" xfId="0" applyNumberFormat="1" applyFill="1" applyBorder="1"/>
    <xf numFmtId="0" fontId="0" fillId="0" borderId="0" xfId="0" applyFont="1" applyBorder="1"/>
    <xf numFmtId="0" fontId="9" fillId="0" borderId="0" xfId="0" applyFont="1"/>
    <xf numFmtId="0" fontId="0" fillId="11" borderId="7" xfId="0" applyFill="1" applyBorder="1"/>
    <xf numFmtId="10" fontId="0" fillId="0" borderId="2" xfId="0" applyNumberFormat="1" applyBorder="1"/>
    <xf numFmtId="0" fontId="0" fillId="12" borderId="7" xfId="0" applyFill="1" applyBorder="1"/>
    <xf numFmtId="10" fontId="0" fillId="9" borderId="0" xfId="0" applyNumberFormat="1" applyFill="1" applyBorder="1"/>
    <xf numFmtId="164" fontId="0" fillId="11" borderId="0" xfId="0" applyNumberFormat="1" applyFill="1" applyBorder="1"/>
    <xf numFmtId="0" fontId="0" fillId="11" borderId="0" xfId="0" applyFill="1" applyBorder="1"/>
    <xf numFmtId="0" fontId="1" fillId="11" borderId="33" xfId="0" applyFont="1" applyFill="1" applyBorder="1"/>
    <xf numFmtId="2" fontId="0" fillId="11" borderId="34" xfId="0" applyNumberFormat="1" applyFill="1" applyBorder="1"/>
    <xf numFmtId="0" fontId="0" fillId="11" borderId="35" xfId="0" applyFill="1" applyBorder="1"/>
    <xf numFmtId="1" fontId="0" fillId="11" borderId="0" xfId="0" applyNumberFormat="1" applyFont="1" applyFill="1" applyBorder="1"/>
    <xf numFmtId="0" fontId="0" fillId="11" borderId="8" xfId="0" applyFill="1" applyBorder="1"/>
    <xf numFmtId="0" fontId="1" fillId="11" borderId="31" xfId="0" applyFont="1" applyFill="1" applyBorder="1"/>
    <xf numFmtId="0" fontId="1" fillId="11" borderId="32" xfId="0" applyFont="1" applyFill="1" applyBorder="1"/>
    <xf numFmtId="164" fontId="0" fillId="10" borderId="0" xfId="0" applyNumberFormat="1" applyFill="1" applyBorder="1"/>
    <xf numFmtId="0" fontId="0" fillId="10" borderId="0" xfId="0" applyFill="1" applyBorder="1"/>
    <xf numFmtId="0" fontId="0" fillId="12" borderId="0" xfId="0" applyFill="1" applyBorder="1"/>
    <xf numFmtId="10" fontId="0" fillId="7" borderId="0" xfId="0" applyNumberFormat="1" applyFill="1" applyBorder="1"/>
    <xf numFmtId="10" fontId="0" fillId="8" borderId="0" xfId="0" applyNumberFormat="1" applyFill="1" applyBorder="1"/>
    <xf numFmtId="10" fontId="0" fillId="5" borderId="0" xfId="0" applyNumberFormat="1" applyFill="1" applyBorder="1"/>
    <xf numFmtId="164" fontId="0" fillId="3" borderId="0" xfId="0" applyNumberFormat="1" applyFill="1" applyBorder="1"/>
    <xf numFmtId="10" fontId="0" fillId="3" borderId="0" xfId="0" applyNumberFormat="1" applyFill="1" applyBorder="1"/>
    <xf numFmtId="10" fontId="0" fillId="6" borderId="0" xfId="0" applyNumberFormat="1" applyFill="1" applyBorder="1"/>
    <xf numFmtId="164" fontId="0" fillId="13" borderId="0" xfId="0" applyNumberFormat="1" applyFill="1" applyBorder="1"/>
    <xf numFmtId="0" fontId="0" fillId="13" borderId="0" xfId="0" applyFill="1" applyBorder="1"/>
    <xf numFmtId="10" fontId="0" fillId="13" borderId="0" xfId="0" applyNumberFormat="1" applyFill="1" applyBorder="1"/>
    <xf numFmtId="0" fontId="0" fillId="13" borderId="7" xfId="0" applyFill="1" applyBorder="1"/>
    <xf numFmtId="0" fontId="0" fillId="0" borderId="2" xfId="0" applyFont="1" applyBorder="1"/>
    <xf numFmtId="0" fontId="0" fillId="11" borderId="9" xfId="0" applyFill="1" applyBorder="1"/>
    <xf numFmtId="0" fontId="0" fillId="10" borderId="9" xfId="0" applyFill="1" applyBorder="1"/>
    <xf numFmtId="164" fontId="1" fillId="11" borderId="17" xfId="0" applyNumberFormat="1" applyFont="1" applyFill="1" applyBorder="1"/>
    <xf numFmtId="0" fontId="1" fillId="10" borderId="33" xfId="0" applyFont="1" applyFill="1" applyBorder="1"/>
    <xf numFmtId="0" fontId="0" fillId="10" borderId="34" xfId="0" applyFill="1" applyBorder="1"/>
    <xf numFmtId="0" fontId="0" fillId="10" borderId="35" xfId="0" applyFill="1" applyBorder="1"/>
    <xf numFmtId="0" fontId="0" fillId="10" borderId="7" xfId="0" applyFont="1" applyFill="1" applyBorder="1"/>
    <xf numFmtId="0" fontId="0" fillId="10" borderId="8" xfId="0" applyFill="1" applyBorder="1"/>
    <xf numFmtId="0" fontId="1" fillId="10" borderId="31" xfId="0" applyFont="1" applyFill="1" applyBorder="1"/>
    <xf numFmtId="164" fontId="1" fillId="10" borderId="17" xfId="0" applyNumberFormat="1" applyFont="1" applyFill="1" applyBorder="1"/>
    <xf numFmtId="0" fontId="1" fillId="10" borderId="32" xfId="0" applyFont="1" applyFill="1" applyBorder="1"/>
    <xf numFmtId="0" fontId="0" fillId="13" borderId="8" xfId="0" applyFill="1" applyBorder="1"/>
    <xf numFmtId="164" fontId="1" fillId="3" borderId="17" xfId="0" applyNumberFormat="1" applyFont="1" applyFill="1" applyBorder="1"/>
    <xf numFmtId="164" fontId="0" fillId="3" borderId="14" xfId="0" applyNumberFormat="1" applyFill="1" applyBorder="1"/>
    <xf numFmtId="164" fontId="0" fillId="3" borderId="26" xfId="0" applyNumberFormat="1" applyFill="1" applyBorder="1"/>
    <xf numFmtId="0" fontId="0" fillId="6" borderId="0" xfId="0" applyNumberFormat="1" applyFill="1" applyBorder="1"/>
    <xf numFmtId="0" fontId="1" fillId="6" borderId="7" xfId="0" applyFont="1" applyFill="1" applyBorder="1"/>
    <xf numFmtId="0" fontId="1" fillId="6" borderId="8" xfId="0" applyFont="1" applyFill="1" applyBorder="1"/>
    <xf numFmtId="0" fontId="1" fillId="3" borderId="7" xfId="0" applyFont="1" applyFill="1" applyBorder="1"/>
    <xf numFmtId="164" fontId="1" fillId="3" borderId="0" xfId="0" applyNumberFormat="1" applyFont="1" applyFill="1" applyBorder="1"/>
    <xf numFmtId="0" fontId="1" fillId="3" borderId="8" xfId="0" applyFont="1" applyFill="1" applyBorder="1"/>
    <xf numFmtId="164" fontId="1" fillId="6" borderId="0" xfId="0" applyNumberFormat="1" applyFont="1" applyFill="1" applyBorder="1"/>
    <xf numFmtId="164" fontId="1" fillId="6" borderId="17" xfId="0" applyNumberFormat="1" applyFont="1" applyFill="1" applyBorder="1"/>
    <xf numFmtId="164" fontId="0" fillId="6" borderId="26" xfId="0" applyNumberFormat="1" applyFill="1" applyBorder="1"/>
    <xf numFmtId="164" fontId="0" fillId="4" borderId="14" xfId="0" applyNumberFormat="1" applyFill="1" applyBorder="1"/>
    <xf numFmtId="164" fontId="0" fillId="9" borderId="26" xfId="0" applyNumberFormat="1" applyFill="1" applyBorder="1"/>
    <xf numFmtId="164" fontId="0" fillId="5" borderId="26" xfId="0" applyNumberFormat="1" applyFill="1" applyBorder="1"/>
    <xf numFmtId="0" fontId="1" fillId="0" borderId="12" xfId="0" applyFont="1" applyFill="1" applyBorder="1" applyAlignment="1">
      <alignment horizontal="center"/>
    </xf>
    <xf numFmtId="0" fontId="1" fillId="0" borderId="20" xfId="0" applyFont="1" applyFill="1" applyBorder="1" applyAlignment="1">
      <alignment horizontal="center"/>
    </xf>
    <xf numFmtId="0" fontId="1" fillId="0" borderId="25" xfId="0" applyFont="1" applyFill="1" applyBorder="1" applyAlignment="1">
      <alignment horizontal="center"/>
    </xf>
    <xf numFmtId="164" fontId="0" fillId="11" borderId="26" xfId="0" applyNumberFormat="1" applyFill="1" applyBorder="1"/>
    <xf numFmtId="164" fontId="0" fillId="10" borderId="27" xfId="0" applyNumberFormat="1" applyFill="1" applyBorder="1"/>
    <xf numFmtId="164" fontId="0" fillId="2" borderId="12" xfId="0" applyNumberFormat="1" applyFill="1" applyBorder="1"/>
    <xf numFmtId="164" fontId="0" fillId="0" borderId="4" xfId="0" applyNumberFormat="1" applyBorder="1"/>
    <xf numFmtId="164" fontId="0" fillId="8" borderId="14" xfId="0" applyNumberFormat="1" applyFill="1" applyBorder="1"/>
    <xf numFmtId="164" fontId="0" fillId="8" borderId="26" xfId="0" applyNumberFormat="1" applyFill="1" applyBorder="1"/>
    <xf numFmtId="164" fontId="0" fillId="0" borderId="21" xfId="0" applyNumberFormat="1" applyBorder="1"/>
    <xf numFmtId="164" fontId="0" fillId="0" borderId="27" xfId="0" applyNumberFormat="1" applyBorder="1"/>
    <xf numFmtId="164" fontId="11" fillId="0" borderId="7" xfId="0" applyNumberFormat="1" applyFont="1" applyFill="1" applyBorder="1"/>
    <xf numFmtId="0" fontId="11" fillId="0" borderId="7" xfId="0" applyFont="1" applyFill="1" applyBorder="1"/>
    <xf numFmtId="0" fontId="11" fillId="0" borderId="26" xfId="0" applyFont="1" applyFill="1" applyBorder="1"/>
    <xf numFmtId="164" fontId="11" fillId="0" borderId="26" xfId="0" applyNumberFormat="1" applyFont="1" applyFill="1" applyBorder="1"/>
    <xf numFmtId="0" fontId="11" fillId="0" borderId="21" xfId="0" applyFont="1" applyFill="1" applyBorder="1"/>
    <xf numFmtId="164" fontId="11" fillId="0" borderId="27" xfId="0" applyNumberFormat="1" applyFont="1" applyFill="1" applyBorder="1"/>
    <xf numFmtId="0" fontId="11" fillId="0" borderId="20" xfId="0" applyFont="1" applyFill="1" applyBorder="1"/>
    <xf numFmtId="0" fontId="11" fillId="0" borderId="25" xfId="0" applyFont="1" applyFill="1" applyBorder="1"/>
    <xf numFmtId="164" fontId="1" fillId="8" borderId="0" xfId="0" applyNumberFormat="1" applyFont="1" applyFill="1" applyBorder="1"/>
    <xf numFmtId="0" fontId="0" fillId="13" borderId="23" xfId="0" applyFill="1" applyBorder="1"/>
    <xf numFmtId="2" fontId="0" fillId="13" borderId="7" xfId="0" applyNumberFormat="1" applyFill="1" applyBorder="1"/>
    <xf numFmtId="164" fontId="0" fillId="13" borderId="7" xfId="0" applyNumberFormat="1" applyFill="1" applyBorder="1"/>
    <xf numFmtId="164" fontId="11" fillId="8" borderId="7" xfId="0" applyNumberFormat="1" applyFont="1" applyFill="1" applyBorder="1"/>
    <xf numFmtId="164" fontId="11" fillId="8" borderId="26" xfId="0" applyNumberFormat="1" applyFont="1" applyFill="1" applyBorder="1"/>
    <xf numFmtId="0" fontId="1" fillId="8" borderId="7" xfId="0" applyFont="1" applyFill="1" applyBorder="1"/>
    <xf numFmtId="0" fontId="1" fillId="8" borderId="8" xfId="0" applyFont="1" applyFill="1" applyBorder="1"/>
    <xf numFmtId="3" fontId="0" fillId="0" borderId="0" xfId="0" applyNumberFormat="1" applyFill="1" applyBorder="1"/>
    <xf numFmtId="3" fontId="0" fillId="6" borderId="0" xfId="0" applyNumberFormat="1" applyFill="1" applyBorder="1"/>
    <xf numFmtId="0" fontId="11" fillId="0" borderId="23" xfId="0" applyFont="1" applyFill="1" applyBorder="1"/>
    <xf numFmtId="0" fontId="11" fillId="7" borderId="7" xfId="0" applyFont="1" applyFill="1" applyBorder="1"/>
    <xf numFmtId="0" fontId="11" fillId="7" borderId="26" xfId="0" applyFont="1" applyFill="1" applyBorder="1"/>
    <xf numFmtId="0" fontId="10" fillId="12" borderId="0" xfId="0" applyFont="1" applyFill="1" applyBorder="1"/>
    <xf numFmtId="164" fontId="10" fillId="12" borderId="7" xfId="0" applyNumberFormat="1" applyFont="1" applyFill="1" applyBorder="1"/>
    <xf numFmtId="0" fontId="10" fillId="12" borderId="7" xfId="0" applyFont="1" applyFill="1" applyBorder="1"/>
    <xf numFmtId="2" fontId="10" fillId="12" borderId="7" xfId="0" applyNumberFormat="1" applyFont="1" applyFill="1" applyBorder="1"/>
    <xf numFmtId="0" fontId="10" fillId="12" borderId="26" xfId="0" applyFont="1" applyFill="1" applyBorder="1"/>
    <xf numFmtId="0" fontId="12" fillId="12" borderId="33" xfId="0" applyFont="1" applyFill="1" applyBorder="1"/>
    <xf numFmtId="0" fontId="0" fillId="12" borderId="34" xfId="0" applyFill="1" applyBorder="1"/>
    <xf numFmtId="0" fontId="0" fillId="12" borderId="35" xfId="0" applyFill="1" applyBorder="1"/>
    <xf numFmtId="4" fontId="0" fillId="12" borderId="0" xfId="0" applyNumberFormat="1" applyFill="1" applyBorder="1"/>
    <xf numFmtId="0" fontId="0" fillId="12" borderId="0" xfId="0" applyNumberFormat="1" applyFill="1" applyBorder="1"/>
    <xf numFmtId="0" fontId="0" fillId="12" borderId="8" xfId="0" applyNumberFormat="1" applyFill="1" applyBorder="1"/>
    <xf numFmtId="0" fontId="1" fillId="12" borderId="8" xfId="0" applyFont="1" applyFill="1" applyBorder="1"/>
    <xf numFmtId="3" fontId="0" fillId="12" borderId="0" xfId="0" applyNumberFormat="1" applyFill="1" applyBorder="1"/>
    <xf numFmtId="4" fontId="1" fillId="12" borderId="8" xfId="0" applyNumberFormat="1" applyFont="1" applyFill="1" applyBorder="1"/>
    <xf numFmtId="0" fontId="0" fillId="12" borderId="31" xfId="0" applyFill="1" applyBorder="1"/>
    <xf numFmtId="0" fontId="0" fillId="12" borderId="17" xfId="0" applyFill="1" applyBorder="1"/>
    <xf numFmtId="0" fontId="1" fillId="12" borderId="17" xfId="0" applyFont="1" applyFill="1" applyBorder="1"/>
    <xf numFmtId="4" fontId="1" fillId="12" borderId="32" xfId="0" applyNumberFormat="1" applyFont="1" applyFill="1" applyBorder="1"/>
    <xf numFmtId="164" fontId="0" fillId="2" borderId="25" xfId="0" applyNumberFormat="1" applyFill="1" applyBorder="1"/>
    <xf numFmtId="164" fontId="0" fillId="7" borderId="14" xfId="0" applyNumberFormat="1" applyFill="1" applyBorder="1"/>
    <xf numFmtId="164" fontId="0" fillId="7" borderId="26" xfId="0" applyNumberFormat="1" applyFill="1" applyBorder="1"/>
    <xf numFmtId="164" fontId="10" fillId="12" borderId="14" xfId="0" applyNumberFormat="1" applyFont="1" applyFill="1" applyBorder="1"/>
    <xf numFmtId="164" fontId="10" fillId="12" borderId="26" xfId="0" applyNumberFormat="1" applyFont="1" applyFill="1" applyBorder="1"/>
    <xf numFmtId="164" fontId="0" fillId="9" borderId="14" xfId="0" applyNumberFormat="1" applyFill="1" applyBorder="1"/>
    <xf numFmtId="164" fontId="0" fillId="13" borderId="14" xfId="0" applyNumberFormat="1" applyFill="1" applyBorder="1"/>
    <xf numFmtId="164" fontId="0" fillId="13" borderId="26" xfId="0" applyNumberFormat="1" applyFill="1" applyBorder="1"/>
    <xf numFmtId="164" fontId="0" fillId="4" borderId="26" xfId="0" applyNumberFormat="1" applyFill="1" applyBorder="1"/>
    <xf numFmtId="164" fontId="0" fillId="11" borderId="14" xfId="0" applyNumberFormat="1" applyFill="1" applyBorder="1"/>
    <xf numFmtId="164" fontId="0" fillId="11" borderId="7" xfId="0" applyNumberFormat="1" applyFill="1" applyBorder="1"/>
    <xf numFmtId="164" fontId="0" fillId="10" borderId="4" xfId="0" applyNumberFormat="1" applyFill="1" applyBorder="1"/>
    <xf numFmtId="164" fontId="0" fillId="10" borderId="21" xfId="0" applyNumberFormat="1" applyFill="1" applyBorder="1"/>
    <xf numFmtId="2" fontId="0" fillId="11" borderId="7" xfId="0" applyNumberFormat="1" applyFill="1" applyBorder="1"/>
    <xf numFmtId="2" fontId="0" fillId="10" borderId="21" xfId="0" applyNumberFormat="1" applyFill="1" applyBorder="1"/>
    <xf numFmtId="10" fontId="0" fillId="2" borderId="11" xfId="0" applyNumberFormat="1" applyFill="1" applyBorder="1"/>
    <xf numFmtId="10" fontId="10" fillId="12" borderId="0" xfId="0" applyNumberFormat="1" applyFont="1" applyFill="1" applyBorder="1"/>
    <xf numFmtId="10" fontId="0" fillId="4" borderId="0" xfId="0" applyNumberFormat="1" applyFill="1" applyBorder="1"/>
    <xf numFmtId="164" fontId="1" fillId="2" borderId="10" xfId="0" applyNumberFormat="1" applyFont="1" applyFill="1" applyBorder="1"/>
    <xf numFmtId="164" fontId="1" fillId="7" borderId="9" xfId="0" applyNumberFormat="1" applyFont="1" applyFill="1" applyBorder="1"/>
    <xf numFmtId="164" fontId="12" fillId="12" borderId="9" xfId="0" applyNumberFormat="1" applyFont="1" applyFill="1" applyBorder="1"/>
    <xf numFmtId="164" fontId="1" fillId="6" borderId="9" xfId="0" applyNumberFormat="1" applyFont="1" applyFill="1" applyBorder="1"/>
    <xf numFmtId="164" fontId="1" fillId="3" borderId="9" xfId="0" applyNumberFormat="1" applyFont="1" applyFill="1" applyBorder="1"/>
    <xf numFmtId="164" fontId="1" fillId="9" borderId="9" xfId="0" applyNumberFormat="1" applyFont="1" applyFill="1" applyBorder="1"/>
    <xf numFmtId="164" fontId="1" fillId="13" borderId="9" xfId="0" applyNumberFormat="1" applyFont="1" applyFill="1" applyBorder="1"/>
    <xf numFmtId="164" fontId="1" fillId="4" borderId="9" xfId="0" applyNumberFormat="1" applyFont="1" applyFill="1" applyBorder="1"/>
    <xf numFmtId="164" fontId="1" fillId="8" borderId="9" xfId="0" applyNumberFormat="1" applyFont="1" applyFill="1" applyBorder="1"/>
    <xf numFmtId="164" fontId="1" fillId="5" borderId="9" xfId="0" applyNumberFormat="1" applyFont="1" applyFill="1" applyBorder="1"/>
    <xf numFmtId="164" fontId="1" fillId="11" borderId="9" xfId="0" applyNumberFormat="1" applyFont="1" applyFill="1" applyBorder="1"/>
    <xf numFmtId="164" fontId="1" fillId="10" borderId="16" xfId="0" applyNumberFormat="1" applyFont="1" applyFill="1" applyBorder="1"/>
    <xf numFmtId="0" fontId="1" fillId="4" borderId="31" xfId="0" applyFont="1" applyFill="1" applyBorder="1"/>
    <xf numFmtId="0" fontId="1" fillId="4" borderId="32" xfId="0" applyFont="1" applyFill="1" applyBorder="1"/>
    <xf numFmtId="0" fontId="0" fillId="4" borderId="30" xfId="0" applyFont="1" applyFill="1" applyBorder="1"/>
    <xf numFmtId="0" fontId="0" fillId="4" borderId="0" xfId="0" applyFill="1" applyBorder="1"/>
    <xf numFmtId="4" fontId="1" fillId="4" borderId="32" xfId="0" applyNumberFormat="1" applyFont="1" applyFill="1" applyBorder="1"/>
    <xf numFmtId="0" fontId="1" fillId="13" borderId="33" xfId="0" applyFont="1" applyFill="1" applyBorder="1"/>
    <xf numFmtId="2" fontId="0" fillId="13" borderId="34" xfId="0" applyNumberFormat="1" applyFill="1" applyBorder="1"/>
    <xf numFmtId="0" fontId="0" fillId="13" borderId="35" xfId="0" applyFill="1" applyBorder="1"/>
    <xf numFmtId="0" fontId="0" fillId="13" borderId="28" xfId="0" applyFont="1" applyFill="1" applyBorder="1"/>
    <xf numFmtId="0" fontId="0" fillId="13" borderId="30" xfId="0" applyFont="1" applyFill="1" applyBorder="1"/>
    <xf numFmtId="0" fontId="1" fillId="13" borderId="31" xfId="0" applyFont="1" applyFill="1" applyBorder="1"/>
    <xf numFmtId="4" fontId="1" fillId="13" borderId="32" xfId="0" applyNumberFormat="1" applyFont="1" applyFill="1" applyBorder="1"/>
    <xf numFmtId="0" fontId="1" fillId="13" borderId="32" xfId="0" applyFont="1" applyFill="1" applyBorder="1"/>
    <xf numFmtId="0" fontId="0" fillId="2" borderId="20" xfId="0" applyNumberFormat="1" applyFill="1" applyBorder="1"/>
    <xf numFmtId="0" fontId="0" fillId="7" borderId="7" xfId="0" applyNumberFormat="1" applyFill="1" applyBorder="1"/>
    <xf numFmtId="0" fontId="10" fillId="12" borderId="7" xfId="0" applyNumberFormat="1" applyFont="1" applyFill="1" applyBorder="1"/>
    <xf numFmtId="0" fontId="0" fillId="6" borderId="7" xfId="0" applyNumberFormat="1" applyFill="1" applyBorder="1"/>
    <xf numFmtId="0" fontId="0" fillId="3" borderId="7" xfId="0" applyNumberFormat="1" applyFill="1" applyBorder="1"/>
    <xf numFmtId="0" fontId="0" fillId="9" borderId="7" xfId="0" applyNumberFormat="1" applyFill="1" applyBorder="1"/>
    <xf numFmtId="0" fontId="0" fillId="13" borderId="7" xfId="0" applyNumberFormat="1" applyFill="1" applyBorder="1"/>
    <xf numFmtId="0" fontId="0" fillId="8" borderId="7" xfId="0" applyNumberFormat="1" applyFill="1" applyBorder="1"/>
    <xf numFmtId="0" fontId="0" fillId="9" borderId="23" xfId="0" applyNumberFormat="1" applyFill="1" applyBorder="1"/>
    <xf numFmtId="0" fontId="0" fillId="11" borderId="23" xfId="0" applyNumberFormat="1" applyFill="1" applyBorder="1"/>
    <xf numFmtId="0" fontId="0" fillId="10" borderId="36" xfId="0" applyNumberFormat="1" applyFill="1" applyBorder="1"/>
    <xf numFmtId="0" fontId="0" fillId="0" borderId="7" xfId="0" applyFont="1" applyBorder="1"/>
    <xf numFmtId="0" fontId="0" fillId="0" borderId="14" xfId="0" applyFont="1" applyBorder="1"/>
    <xf numFmtId="164" fontId="0" fillId="0" borderId="7" xfId="0" applyNumberFormat="1" applyFont="1" applyBorder="1"/>
    <xf numFmtId="0" fontId="0" fillId="0" borderId="26" xfId="0" applyFont="1" applyBorder="1"/>
    <xf numFmtId="0" fontId="2" fillId="0" borderId="0" xfId="1" applyFont="1" applyAlignment="1" applyProtection="1"/>
    <xf numFmtId="0" fontId="0" fillId="0" borderId="14" xfId="0" applyFont="1" applyFill="1" applyBorder="1"/>
    <xf numFmtId="0" fontId="1" fillId="14" borderId="18" xfId="0" applyFont="1" applyFill="1" applyBorder="1" applyAlignment="1">
      <alignment horizontal="center"/>
    </xf>
    <xf numFmtId="0" fontId="0" fillId="14" borderId="0" xfId="0" applyFill="1"/>
    <xf numFmtId="0" fontId="15" fillId="0" borderId="0" xfId="0" applyFont="1" applyAlignment="1">
      <alignment horizontal="left"/>
    </xf>
    <xf numFmtId="0" fontId="0" fillId="14" borderId="37" xfId="0" applyFill="1" applyBorder="1" applyAlignment="1">
      <alignment vertical="top" wrapText="1"/>
    </xf>
    <xf numFmtId="0" fontId="0" fillId="14" borderId="37" xfId="0" applyFont="1" applyFill="1" applyBorder="1" applyAlignment="1">
      <alignment vertical="top" wrapText="1"/>
    </xf>
    <xf numFmtId="0" fontId="0" fillId="14" borderId="39" xfId="0" applyFont="1" applyFill="1" applyBorder="1" applyAlignment="1">
      <alignment vertical="top" wrapText="1"/>
    </xf>
    <xf numFmtId="0" fontId="0" fillId="14" borderId="38" xfId="0" applyFont="1" applyFill="1" applyBorder="1" applyAlignment="1">
      <alignment vertical="top" wrapText="1"/>
    </xf>
    <xf numFmtId="0" fontId="0" fillId="14" borderId="40" xfId="0" applyFont="1" applyFill="1" applyBorder="1" applyAlignment="1">
      <alignment vertical="top" wrapText="1"/>
    </xf>
    <xf numFmtId="164" fontId="1" fillId="0" borderId="0" xfId="0" applyNumberFormat="1" applyFont="1" applyFill="1" applyBorder="1"/>
    <xf numFmtId="164" fontId="12" fillId="0" borderId="0" xfId="0" applyNumberFormat="1" applyFont="1" applyFill="1" applyBorder="1"/>
    <xf numFmtId="0" fontId="0" fillId="14" borderId="0" xfId="0" applyFill="1" applyBorder="1"/>
    <xf numFmtId="165" fontId="0" fillId="0" borderId="0" xfId="0" applyNumberFormat="1"/>
    <xf numFmtId="0" fontId="0" fillId="0" borderId="0" xfId="0" applyFont="1" applyAlignment="1">
      <alignment horizontal="left"/>
    </xf>
    <xf numFmtId="164" fontId="0" fillId="0" borderId="9" xfId="0" applyNumberFormat="1" applyFont="1" applyBorder="1"/>
    <xf numFmtId="164" fontId="1" fillId="0" borderId="0" xfId="0" applyNumberFormat="1" applyFont="1" applyBorder="1"/>
    <xf numFmtId="0" fontId="0" fillId="0" borderId="12" xfId="0" applyFill="1" applyBorder="1"/>
    <xf numFmtId="0" fontId="10" fillId="0" borderId="14" xfId="0" applyFont="1" applyFill="1" applyBorder="1"/>
    <xf numFmtId="164" fontId="0" fillId="0" borderId="6" xfId="0" applyNumberFormat="1" applyBorder="1"/>
    <xf numFmtId="0" fontId="1" fillId="0" borderId="0" xfId="0" applyFont="1" applyAlignment="1">
      <alignment horizontal="right"/>
    </xf>
    <xf numFmtId="0" fontId="1" fillId="0" borderId="0" xfId="0" applyFont="1" applyFill="1" applyBorder="1" applyAlignment="1">
      <alignment horizontal="left"/>
    </xf>
    <xf numFmtId="0" fontId="10" fillId="0" borderId="0" xfId="0" applyFont="1" applyFill="1" applyBorder="1"/>
    <xf numFmtId="0" fontId="1" fillId="0" borderId="0" xfId="0" applyFont="1" applyBorder="1" applyAlignment="1">
      <alignment horizontal="right"/>
    </xf>
    <xf numFmtId="0" fontId="0" fillId="0" borderId="0" xfId="0" applyFill="1" applyBorder="1" applyAlignment="1">
      <alignment horizontal="right"/>
    </xf>
    <xf numFmtId="4" fontId="0" fillId="0" borderId="0" xfId="0" applyNumberFormat="1"/>
    <xf numFmtId="0" fontId="1" fillId="15" borderId="33" xfId="0" applyFont="1" applyFill="1" applyBorder="1"/>
    <xf numFmtId="164" fontId="1" fillId="15" borderId="34" xfId="0" applyNumberFormat="1" applyFont="1" applyFill="1" applyBorder="1"/>
    <xf numFmtId="0" fontId="1" fillId="15" borderId="35" xfId="0" applyFont="1" applyFill="1" applyBorder="1"/>
    <xf numFmtId="164" fontId="0" fillId="15" borderId="0" xfId="0" applyNumberFormat="1" applyFill="1" applyBorder="1"/>
    <xf numFmtId="0" fontId="0" fillId="15" borderId="23" xfId="0" applyFill="1" applyBorder="1"/>
    <xf numFmtId="0" fontId="0" fillId="15" borderId="7" xfId="0" applyFill="1" applyBorder="1"/>
    <xf numFmtId="0" fontId="0" fillId="15" borderId="7" xfId="0" applyNumberFormat="1" applyFill="1" applyBorder="1"/>
    <xf numFmtId="2" fontId="0" fillId="15" borderId="7" xfId="0" applyNumberFormat="1" applyFill="1" applyBorder="1"/>
    <xf numFmtId="164" fontId="1" fillId="15" borderId="9" xfId="0" applyNumberFormat="1" applyFont="1" applyFill="1" applyBorder="1"/>
    <xf numFmtId="10" fontId="0" fillId="15" borderId="0" xfId="0" applyNumberFormat="1" applyFill="1" applyBorder="1"/>
    <xf numFmtId="164" fontId="0" fillId="15" borderId="14" xfId="0" applyNumberFormat="1" applyFill="1" applyBorder="1"/>
    <xf numFmtId="164" fontId="0" fillId="15" borderId="7" xfId="0" applyNumberFormat="1" applyFill="1" applyBorder="1"/>
    <xf numFmtId="164" fontId="0" fillId="15" borderId="26" xfId="0" applyNumberFormat="1" applyFill="1" applyBorder="1"/>
    <xf numFmtId="3" fontId="0" fillId="0" borderId="0" xfId="0" applyNumberFormat="1" applyFill="1"/>
    <xf numFmtId="2" fontId="0" fillId="0" borderId="0" xfId="0" applyNumberFormat="1" applyFill="1"/>
    <xf numFmtId="0" fontId="0" fillId="0" borderId="31" xfId="0" applyBorder="1"/>
    <xf numFmtId="0" fontId="0" fillId="0" borderId="32" xfId="0" applyBorder="1"/>
    <xf numFmtId="0" fontId="0" fillId="0" borderId="17" xfId="0" applyFill="1" applyBorder="1"/>
    <xf numFmtId="0" fontId="0" fillId="0" borderId="31" xfId="0" applyFill="1" applyBorder="1"/>
    <xf numFmtId="0" fontId="0" fillId="0" borderId="32" xfId="0" applyFill="1" applyBorder="1"/>
    <xf numFmtId="166" fontId="0" fillId="0" borderId="0" xfId="0" applyNumberFormat="1"/>
    <xf numFmtId="11" fontId="0" fillId="0" borderId="0" xfId="0" applyNumberFormat="1" applyFill="1" applyBorder="1"/>
    <xf numFmtId="10" fontId="0" fillId="10" borderId="0" xfId="0" applyNumberFormat="1" applyFill="1" applyBorder="1"/>
    <xf numFmtId="0" fontId="11" fillId="0" borderId="0" xfId="0" applyFont="1" applyFill="1" applyBorder="1"/>
    <xf numFmtId="10" fontId="0" fillId="11" borderId="0" xfId="0" applyNumberFormat="1" applyFill="1" applyBorder="1"/>
    <xf numFmtId="0" fontId="0" fillId="10" borderId="21" xfId="0" applyFill="1" applyBorder="1"/>
    <xf numFmtId="164" fontId="0" fillId="9" borderId="23" xfId="0" applyNumberFormat="1" applyFill="1" applyBorder="1"/>
    <xf numFmtId="164" fontId="0" fillId="8" borderId="23" xfId="0" applyNumberFormat="1" applyFill="1" applyBorder="1"/>
    <xf numFmtId="164" fontId="0" fillId="5" borderId="23" xfId="0" applyNumberFormat="1" applyFill="1" applyBorder="1"/>
    <xf numFmtId="164" fontId="0" fillId="11" borderId="23" xfId="0" applyNumberFormat="1" applyFill="1" applyBorder="1"/>
    <xf numFmtId="0" fontId="1" fillId="0" borderId="11" xfId="0" applyFont="1" applyFill="1" applyBorder="1" applyAlignment="1">
      <alignment horizontal="center"/>
    </xf>
    <xf numFmtId="164" fontId="11" fillId="0" borderId="11" xfId="0" applyNumberFormat="1" applyFont="1" applyFill="1" applyBorder="1"/>
    <xf numFmtId="0" fontId="11" fillId="7" borderId="0" xfId="0" applyFont="1" applyFill="1" applyBorder="1"/>
    <xf numFmtId="164" fontId="0" fillId="6" borderId="0" xfId="0" applyNumberFormat="1" applyFill="1" applyBorder="1"/>
    <xf numFmtId="164" fontId="11" fillId="0" borderId="0" xfId="0" applyNumberFormat="1" applyFont="1" applyFill="1" applyBorder="1"/>
    <xf numFmtId="164" fontId="11" fillId="8" borderId="0" xfId="0" applyNumberFormat="1" applyFont="1" applyFill="1" applyBorder="1"/>
    <xf numFmtId="0" fontId="11" fillId="0" borderId="5" xfId="0" applyFont="1" applyFill="1" applyBorder="1"/>
    <xf numFmtId="0" fontId="1" fillId="5" borderId="28" xfId="0" applyFont="1" applyFill="1" applyBorder="1"/>
    <xf numFmtId="2" fontId="0" fillId="5" borderId="29" xfId="0" applyNumberFormat="1" applyFill="1" applyBorder="1"/>
    <xf numFmtId="0" fontId="0" fillId="5" borderId="30" xfId="0" applyFill="1" applyBorder="1"/>
    <xf numFmtId="0" fontId="0" fillId="5" borderId="28" xfId="0" applyFill="1" applyBorder="1"/>
    <xf numFmtId="1" fontId="0" fillId="0" borderId="21" xfId="0" applyNumberFormat="1" applyBorder="1"/>
    <xf numFmtId="2" fontId="0" fillId="2" borderId="11" xfId="0" applyNumberFormat="1" applyFill="1" applyBorder="1"/>
    <xf numFmtId="2" fontId="0" fillId="0" borderId="17" xfId="0" applyNumberFormat="1" applyBorder="1"/>
    <xf numFmtId="164" fontId="0" fillId="0" borderId="29" xfId="0" applyNumberFormat="1" applyFont="1" applyBorder="1"/>
    <xf numFmtId="0" fontId="1" fillId="0" borderId="28" xfId="0" applyFont="1" applyBorder="1"/>
    <xf numFmtId="0" fontId="0" fillId="0" borderId="30" xfId="0" applyFont="1" applyBorder="1"/>
    <xf numFmtId="0" fontId="0" fillId="0" borderId="28" xfId="0" applyBorder="1"/>
    <xf numFmtId="2" fontId="0" fillId="0" borderId="29" xfId="0" applyNumberFormat="1" applyBorder="1"/>
    <xf numFmtId="0" fontId="0" fillId="0" borderId="30" xfId="0" applyBorder="1"/>
    <xf numFmtId="0" fontId="0" fillId="2" borderId="31" xfId="0" applyFill="1" applyBorder="1"/>
    <xf numFmtId="2" fontId="0" fillId="2" borderId="17" xfId="0" applyNumberFormat="1" applyFill="1" applyBorder="1"/>
    <xf numFmtId="0" fontId="0" fillId="2" borderId="32" xfId="0" applyFill="1" applyBorder="1"/>
    <xf numFmtId="2" fontId="0" fillId="3" borderId="0" xfId="0" applyNumberFormat="1" applyFill="1" applyBorder="1"/>
    <xf numFmtId="0" fontId="0" fillId="6" borderId="8" xfId="0" applyNumberFormat="1" applyFill="1" applyBorder="1"/>
    <xf numFmtId="0" fontId="0" fillId="15" borderId="31" xfId="0" applyFill="1" applyBorder="1"/>
    <xf numFmtId="0" fontId="0" fillId="15" borderId="32" xfId="0" applyFont="1" applyFill="1" applyBorder="1"/>
    <xf numFmtId="164" fontId="0" fillId="5" borderId="0" xfId="0" applyNumberFormat="1" applyFont="1" applyFill="1" applyBorder="1"/>
    <xf numFmtId="0" fontId="0" fillId="5" borderId="7" xfId="0" applyFont="1" applyFill="1" applyBorder="1"/>
    <xf numFmtId="0" fontId="0" fillId="5" borderId="8" xfId="0" applyFont="1" applyFill="1" applyBorder="1"/>
    <xf numFmtId="164" fontId="0" fillId="9" borderId="17" xfId="0" applyNumberFormat="1" applyFill="1" applyBorder="1"/>
    <xf numFmtId="0" fontId="0" fillId="0" borderId="1" xfId="0" applyFill="1" applyBorder="1"/>
    <xf numFmtId="2" fontId="0" fillId="0" borderId="19" xfId="0" applyNumberFormat="1" applyBorder="1"/>
    <xf numFmtId="0" fontId="0" fillId="0" borderId="24" xfId="0" applyFill="1" applyBorder="1"/>
    <xf numFmtId="0" fontId="0" fillId="9" borderId="7" xfId="0" applyNumberFormat="1" applyFill="1" applyBorder="1"/>
    <xf numFmtId="0" fontId="0" fillId="5" borderId="7" xfId="0" applyNumberFormat="1" applyFill="1" applyBorder="1"/>
    <xf numFmtId="0" fontId="0" fillId="9" borderId="23" xfId="0" applyNumberFormat="1" applyFill="1" applyBorder="1"/>
    <xf numFmtId="0" fontId="0" fillId="0" borderId="0" xfId="0"/>
    <xf numFmtId="0" fontId="2" fillId="0" borderId="0" xfId="1" applyAlignment="1" applyProtection="1"/>
    <xf numFmtId="0" fontId="0" fillId="0" borderId="2" xfId="0" applyBorder="1"/>
    <xf numFmtId="164" fontId="0" fillId="0" borderId="0" xfId="0" applyNumberFormat="1"/>
    <xf numFmtId="0" fontId="0" fillId="0" borderId="7" xfId="0" applyBorder="1"/>
    <xf numFmtId="0" fontId="0" fillId="0" borderId="7" xfId="0" applyFill="1" applyBorder="1"/>
    <xf numFmtId="2" fontId="0" fillId="0" borderId="0" xfId="0" applyNumberFormat="1"/>
    <xf numFmtId="0" fontId="1" fillId="0" borderId="0" xfId="0" applyFont="1" applyFill="1" applyBorder="1"/>
    <xf numFmtId="164" fontId="0" fillId="0" borderId="0" xfId="0" applyNumberFormat="1" applyFill="1" applyBorder="1"/>
    <xf numFmtId="2" fontId="1" fillId="0" borderId="0" xfId="0" applyNumberFormat="1" applyFont="1" applyFill="1" applyBorder="1"/>
    <xf numFmtId="0" fontId="0" fillId="0" borderId="0" xfId="0" applyFill="1"/>
    <xf numFmtId="0" fontId="1" fillId="0" borderId="0" xfId="0" applyFont="1" applyBorder="1"/>
    <xf numFmtId="164" fontId="0" fillId="0" borderId="0" xfId="0" applyNumberFormat="1" applyBorder="1"/>
    <xf numFmtId="0" fontId="0" fillId="0" borderId="0" xfId="0" applyFill="1" applyBorder="1"/>
    <xf numFmtId="0" fontId="0" fillId="0" borderId="12" xfId="0" applyBorder="1"/>
    <xf numFmtId="0" fontId="0" fillId="0" borderId="14" xfId="0" applyFill="1" applyBorder="1"/>
    <xf numFmtId="0" fontId="0" fillId="0" borderId="14" xfId="0" applyBorder="1"/>
    <xf numFmtId="164" fontId="0" fillId="0" borderId="5" xfId="0" applyNumberFormat="1" applyBorder="1"/>
    <xf numFmtId="0" fontId="0" fillId="0" borderId="4" xfId="0" applyFill="1" applyBorder="1"/>
    <xf numFmtId="0" fontId="0" fillId="0" borderId="17" xfId="0" applyBorder="1"/>
    <xf numFmtId="0" fontId="1" fillId="0" borderId="1" xfId="0" applyFont="1" applyBorder="1"/>
    <xf numFmtId="164" fontId="0" fillId="0" borderId="9" xfId="0" applyNumberFormat="1" applyBorder="1"/>
    <xf numFmtId="0" fontId="6" fillId="0" borderId="0" xfId="0" applyFont="1"/>
    <xf numFmtId="0" fontId="1" fillId="0" borderId="11" xfId="0" applyFont="1" applyBorder="1" applyAlignment="1">
      <alignment horizontal="center"/>
    </xf>
    <xf numFmtId="0" fontId="1" fillId="0" borderId="20" xfId="0" applyFont="1" applyBorder="1" applyAlignment="1">
      <alignment horizontal="center"/>
    </xf>
    <xf numFmtId="0" fontId="0" fillId="0" borderId="20" xfId="0" applyBorder="1"/>
    <xf numFmtId="0" fontId="1" fillId="0" borderId="22" xfId="0" applyFont="1" applyBorder="1" applyAlignment="1">
      <alignment horizontal="center"/>
    </xf>
    <xf numFmtId="0" fontId="1" fillId="0" borderId="10" xfId="0" applyFont="1" applyBorder="1"/>
    <xf numFmtId="0" fontId="1" fillId="0" borderId="18" xfId="0" applyFont="1" applyBorder="1"/>
    <xf numFmtId="0" fontId="1" fillId="0" borderId="19" xfId="0" applyFont="1" applyBorder="1" applyAlignment="1">
      <alignment horizontal="center"/>
    </xf>
    <xf numFmtId="0" fontId="1" fillId="0" borderId="24" xfId="0" applyFont="1" applyBorder="1" applyAlignment="1">
      <alignment horizontal="center"/>
    </xf>
    <xf numFmtId="0" fontId="0" fillId="0" borderId="25" xfId="0" applyBorder="1"/>
    <xf numFmtId="0" fontId="0" fillId="0" borderId="26" xfId="0" applyBorder="1"/>
    <xf numFmtId="0" fontId="1" fillId="0" borderId="17" xfId="0" applyFont="1" applyBorder="1"/>
    <xf numFmtId="164" fontId="1" fillId="0" borderId="18" xfId="0" applyNumberFormat="1" applyFont="1" applyBorder="1"/>
    <xf numFmtId="0" fontId="0" fillId="2" borderId="10" xfId="0" applyFill="1" applyBorder="1"/>
    <xf numFmtId="0" fontId="0" fillId="2" borderId="22" xfId="0" applyFill="1" applyBorder="1"/>
    <xf numFmtId="0" fontId="0" fillId="2" borderId="20" xfId="0" applyFill="1" applyBorder="1"/>
    <xf numFmtId="164" fontId="0" fillId="2" borderId="20" xfId="0" applyNumberFormat="1" applyFill="1" applyBorder="1"/>
    <xf numFmtId="0" fontId="0" fillId="3" borderId="9" xfId="0" applyFill="1" applyBorder="1"/>
    <xf numFmtId="0" fontId="0" fillId="3" borderId="7" xfId="0" applyFill="1" applyBorder="1"/>
    <xf numFmtId="164" fontId="0" fillId="3" borderId="7" xfId="0" applyNumberFormat="1" applyFill="1" applyBorder="1"/>
    <xf numFmtId="0" fontId="0" fillId="4" borderId="9" xfId="0" applyFill="1" applyBorder="1"/>
    <xf numFmtId="164" fontId="0" fillId="4" borderId="0" xfId="0" applyNumberFormat="1" applyFill="1" applyBorder="1"/>
    <xf numFmtId="0" fontId="0" fillId="4" borderId="23" xfId="0" applyFill="1" applyBorder="1"/>
    <xf numFmtId="0" fontId="0" fillId="4" borderId="7" xfId="0" applyFill="1" applyBorder="1"/>
    <xf numFmtId="0" fontId="0" fillId="4" borderId="7" xfId="0" applyNumberFormat="1" applyFill="1" applyBorder="1"/>
    <xf numFmtId="164" fontId="0" fillId="4" borderId="7" xfId="0" applyNumberFormat="1" applyFill="1" applyBorder="1"/>
    <xf numFmtId="0" fontId="0" fillId="5" borderId="9" xfId="0" applyFill="1" applyBorder="1"/>
    <xf numFmtId="0" fontId="0" fillId="5" borderId="0" xfId="0" applyFill="1" applyBorder="1"/>
    <xf numFmtId="0" fontId="0" fillId="5" borderId="23" xfId="0" applyFill="1" applyBorder="1"/>
    <xf numFmtId="164" fontId="0" fillId="5" borderId="7" xfId="0" applyNumberFormat="1" applyFill="1" applyBorder="1"/>
    <xf numFmtId="0" fontId="0" fillId="5" borderId="7" xfId="0" applyFill="1" applyBorder="1"/>
    <xf numFmtId="0" fontId="0" fillId="3" borderId="0" xfId="0" applyFill="1" applyBorder="1"/>
    <xf numFmtId="0" fontId="0" fillId="6" borderId="9" xfId="0" applyFill="1" applyBorder="1"/>
    <xf numFmtId="0" fontId="0" fillId="6" borderId="0" xfId="0" applyFill="1" applyBorder="1"/>
    <xf numFmtId="164" fontId="0" fillId="6" borderId="7" xfId="0" applyNumberFormat="1" applyFill="1" applyBorder="1"/>
    <xf numFmtId="0" fontId="0" fillId="6" borderId="7" xfId="0" applyFill="1" applyBorder="1"/>
    <xf numFmtId="0" fontId="0" fillId="7" borderId="9" xfId="0" applyFill="1" applyBorder="1"/>
    <xf numFmtId="0" fontId="0" fillId="7" borderId="0" xfId="0" applyFill="1" applyBorder="1"/>
    <xf numFmtId="164" fontId="0" fillId="7" borderId="7" xfId="0" applyNumberFormat="1" applyFill="1" applyBorder="1"/>
    <xf numFmtId="0" fontId="0" fillId="7" borderId="7" xfId="0" applyFill="1" applyBorder="1"/>
    <xf numFmtId="0" fontId="0" fillId="8" borderId="9" xfId="0" applyFill="1" applyBorder="1"/>
    <xf numFmtId="0" fontId="0" fillId="8" borderId="0" xfId="0" applyFill="1" applyBorder="1"/>
    <xf numFmtId="0" fontId="0" fillId="8" borderId="7" xfId="0" applyFill="1" applyBorder="1"/>
    <xf numFmtId="164" fontId="0" fillId="8" borderId="7" xfId="0" applyNumberFormat="1" applyFill="1" applyBorder="1"/>
    <xf numFmtId="0" fontId="0" fillId="0" borderId="8" xfId="0" applyBorder="1"/>
    <xf numFmtId="0" fontId="0" fillId="2" borderId="7" xfId="0" applyFill="1" applyBorder="1"/>
    <xf numFmtId="2" fontId="0" fillId="2" borderId="0" xfId="0" applyNumberFormat="1" applyFill="1" applyBorder="1"/>
    <xf numFmtId="0" fontId="0" fillId="2" borderId="8" xfId="0" applyFill="1" applyBorder="1"/>
    <xf numFmtId="0" fontId="0" fillId="4" borderId="8" xfId="0" applyFill="1" applyBorder="1"/>
    <xf numFmtId="2" fontId="0" fillId="6" borderId="0" xfId="0" applyNumberFormat="1" applyFill="1" applyBorder="1"/>
    <xf numFmtId="0" fontId="0" fillId="6" borderId="8" xfId="0" applyFill="1" applyBorder="1"/>
    <xf numFmtId="0" fontId="0" fillId="3" borderId="8" xfId="0" applyFill="1" applyBorder="1"/>
    <xf numFmtId="0" fontId="1" fillId="3" borderId="33" xfId="0" applyFont="1" applyFill="1" applyBorder="1"/>
    <xf numFmtId="2" fontId="0" fillId="3" borderId="34" xfId="0" applyNumberFormat="1" applyFill="1" applyBorder="1"/>
    <xf numFmtId="0" fontId="0" fillId="3" borderId="35" xfId="0" applyFill="1" applyBorder="1"/>
    <xf numFmtId="0" fontId="1" fillId="6" borderId="33" xfId="0" applyFont="1" applyFill="1" applyBorder="1"/>
    <xf numFmtId="2" fontId="0" fillId="6" borderId="34" xfId="0" applyNumberFormat="1" applyFill="1" applyBorder="1"/>
    <xf numFmtId="0" fontId="0" fillId="6" borderId="35" xfId="0" applyFill="1" applyBorder="1"/>
    <xf numFmtId="0" fontId="1" fillId="4" borderId="33" xfId="0" applyFont="1" applyFill="1" applyBorder="1"/>
    <xf numFmtId="2" fontId="0" fillId="4" borderId="34" xfId="0" applyNumberFormat="1" applyFill="1" applyBorder="1"/>
    <xf numFmtId="0" fontId="0" fillId="4" borderId="35" xfId="0" applyFill="1" applyBorder="1"/>
    <xf numFmtId="0" fontId="1" fillId="2" borderId="33" xfId="0" applyFont="1" applyFill="1" applyBorder="1"/>
    <xf numFmtId="0" fontId="0" fillId="2" borderId="34" xfId="0" applyFill="1" applyBorder="1"/>
    <xf numFmtId="0" fontId="0" fillId="2" borderId="35" xfId="0" applyFill="1" applyBorder="1"/>
    <xf numFmtId="0" fontId="1" fillId="0" borderId="33" xfId="0" applyFont="1" applyBorder="1"/>
    <xf numFmtId="0" fontId="0" fillId="0" borderId="34" xfId="0" applyBorder="1"/>
    <xf numFmtId="0" fontId="0" fillId="0" borderId="35" xfId="0" applyBorder="1"/>
    <xf numFmtId="2" fontId="0" fillId="7" borderId="0" xfId="0" applyNumberFormat="1" applyFill="1" applyBorder="1"/>
    <xf numFmtId="0" fontId="0" fillId="7" borderId="8" xfId="0" applyFill="1" applyBorder="1"/>
    <xf numFmtId="0" fontId="1" fillId="7" borderId="0" xfId="0" applyFont="1" applyFill="1" applyBorder="1"/>
    <xf numFmtId="0" fontId="0" fillId="7" borderId="31" xfId="0" applyFill="1" applyBorder="1"/>
    <xf numFmtId="0" fontId="0" fillId="7" borderId="17" xfId="0" applyFill="1" applyBorder="1"/>
    <xf numFmtId="0" fontId="1" fillId="7" borderId="33" xfId="0" applyFont="1" applyFill="1" applyBorder="1"/>
    <xf numFmtId="2" fontId="0" fillId="7" borderId="34" xfId="0" applyNumberFormat="1" applyFill="1" applyBorder="1"/>
    <xf numFmtId="0" fontId="0" fillId="7" borderId="34" xfId="0" applyFill="1" applyBorder="1"/>
    <xf numFmtId="0" fontId="0" fillId="7" borderId="35" xfId="0" applyFill="1" applyBorder="1"/>
    <xf numFmtId="0" fontId="0" fillId="8" borderId="8" xfId="0" applyFill="1" applyBorder="1"/>
    <xf numFmtId="164" fontId="0" fillId="8" borderId="0" xfId="0" applyNumberFormat="1" applyFill="1" applyBorder="1"/>
    <xf numFmtId="0" fontId="1" fillId="8" borderId="33" xfId="0" applyFont="1" applyFill="1" applyBorder="1"/>
    <xf numFmtId="0" fontId="0" fillId="8" borderId="34" xfId="0" applyFill="1" applyBorder="1"/>
    <xf numFmtId="0" fontId="0" fillId="8" borderId="35" xfId="0" applyFill="1" applyBorder="1"/>
    <xf numFmtId="0" fontId="0" fillId="9" borderId="9" xfId="0" applyFill="1" applyBorder="1"/>
    <xf numFmtId="164" fontId="0" fillId="9" borderId="0" xfId="0" applyNumberFormat="1" applyFill="1" applyBorder="1"/>
    <xf numFmtId="0" fontId="0" fillId="9" borderId="23" xfId="0" applyFill="1" applyBorder="1"/>
    <xf numFmtId="0" fontId="0" fillId="9" borderId="7" xfId="0" applyFill="1" applyBorder="1"/>
    <xf numFmtId="164" fontId="0" fillId="9" borderId="7" xfId="0" applyNumberFormat="1" applyFill="1" applyBorder="1"/>
    <xf numFmtId="0" fontId="0" fillId="9" borderId="0" xfId="0" applyFill="1" applyBorder="1"/>
    <xf numFmtId="0" fontId="0" fillId="9" borderId="31" xfId="0" applyFill="1" applyBorder="1"/>
    <xf numFmtId="0" fontId="0" fillId="9" borderId="17" xfId="0" applyFill="1" applyBorder="1"/>
    <xf numFmtId="0" fontId="1" fillId="9" borderId="33" xfId="0" applyFont="1" applyFill="1" applyBorder="1"/>
    <xf numFmtId="0" fontId="0" fillId="9" borderId="34" xfId="0" applyFill="1" applyBorder="1"/>
    <xf numFmtId="3" fontId="0" fillId="7" borderId="0" xfId="0" applyNumberFormat="1" applyFill="1" applyBorder="1"/>
    <xf numFmtId="2" fontId="0" fillId="2" borderId="20" xfId="0" applyNumberFormat="1" applyFill="1" applyBorder="1"/>
    <xf numFmtId="2" fontId="0" fillId="7" borderId="7" xfId="0" applyNumberFormat="1" applyFill="1" applyBorder="1"/>
    <xf numFmtId="2" fontId="0" fillId="6" borderId="7" xfId="0" applyNumberFormat="1" applyFill="1" applyBorder="1"/>
    <xf numFmtId="2" fontId="0" fillId="3" borderId="7" xfId="0" applyNumberFormat="1" applyFill="1" applyBorder="1"/>
    <xf numFmtId="2" fontId="0" fillId="9" borderId="7" xfId="0" applyNumberFormat="1" applyFill="1" applyBorder="1"/>
    <xf numFmtId="2" fontId="0" fillId="4" borderId="7" xfId="0" applyNumberFormat="1" applyFill="1" applyBorder="1"/>
    <xf numFmtId="2" fontId="0" fillId="8" borderId="7" xfId="0" applyNumberFormat="1" applyFill="1" applyBorder="1"/>
    <xf numFmtId="2" fontId="0" fillId="5" borderId="7" xfId="0" applyNumberFormat="1" applyFill="1" applyBorder="1"/>
    <xf numFmtId="2" fontId="0" fillId="0" borderId="7" xfId="0" applyNumberFormat="1" applyBorder="1"/>
    <xf numFmtId="0" fontId="1" fillId="0" borderId="32" xfId="0" applyFont="1" applyBorder="1"/>
    <xf numFmtId="0" fontId="1" fillId="0" borderId="31" xfId="0" applyFont="1" applyBorder="1"/>
    <xf numFmtId="0" fontId="0" fillId="0" borderId="0" xfId="0" applyBorder="1"/>
    <xf numFmtId="0" fontId="1" fillId="6" borderId="31" xfId="0" applyFont="1" applyFill="1" applyBorder="1"/>
    <xf numFmtId="0" fontId="1" fillId="6" borderId="32" xfId="0" applyFont="1" applyFill="1" applyBorder="1"/>
    <xf numFmtId="0" fontId="1" fillId="3" borderId="31" xfId="0" applyFont="1" applyFill="1" applyBorder="1"/>
    <xf numFmtId="0" fontId="1" fillId="3" borderId="32" xfId="0" applyFont="1" applyFill="1" applyBorder="1"/>
    <xf numFmtId="0" fontId="1" fillId="5" borderId="31" xfId="0" applyFont="1" applyFill="1" applyBorder="1"/>
    <xf numFmtId="164" fontId="1" fillId="5" borderId="17" xfId="0" applyNumberFormat="1" applyFont="1" applyFill="1" applyBorder="1"/>
    <xf numFmtId="0" fontId="1" fillId="5" borderId="32" xfId="0" applyFont="1" applyFill="1" applyBorder="1"/>
    <xf numFmtId="0" fontId="1" fillId="8" borderId="31" xfId="0" applyFont="1" applyFill="1" applyBorder="1"/>
    <xf numFmtId="164" fontId="1" fillId="8" borderId="17" xfId="0" applyNumberFormat="1" applyFont="1" applyFill="1" applyBorder="1"/>
    <xf numFmtId="0" fontId="1" fillId="8" borderId="32" xfId="0" applyFont="1" applyFill="1" applyBorder="1"/>
    <xf numFmtId="0" fontId="0" fillId="2" borderId="0" xfId="0" applyNumberFormat="1" applyFill="1" applyBorder="1"/>
    <xf numFmtId="0" fontId="1" fillId="0" borderId="12" xfId="0" applyFont="1" applyBorder="1"/>
    <xf numFmtId="0" fontId="0" fillId="0" borderId="27" xfId="0" applyFill="1" applyBorder="1"/>
    <xf numFmtId="2" fontId="0" fillId="0" borderId="0" xfId="0" applyNumberFormat="1" applyFill="1" applyBorder="1"/>
    <xf numFmtId="2" fontId="0" fillId="0" borderId="0" xfId="0" applyNumberFormat="1" applyBorder="1"/>
    <xf numFmtId="0" fontId="0" fillId="0" borderId="0" xfId="0" applyFont="1"/>
    <xf numFmtId="0" fontId="6" fillId="0" borderId="17" xfId="0" applyFont="1" applyBorder="1"/>
    <xf numFmtId="164" fontId="0" fillId="0" borderId="17" xfId="0" applyNumberFormat="1" applyBorder="1"/>
    <xf numFmtId="0" fontId="1" fillId="0" borderId="10" xfId="0" applyFont="1" applyBorder="1" applyAlignment="1">
      <alignment horizontal="center"/>
    </xf>
    <xf numFmtId="164" fontId="0" fillId="0" borderId="14" xfId="0" applyNumberFormat="1" applyBorder="1"/>
    <xf numFmtId="164" fontId="0" fillId="5" borderId="14" xfId="0" applyNumberFormat="1" applyFill="1" applyBorder="1"/>
    <xf numFmtId="164" fontId="0" fillId="6" borderId="14" xfId="0" applyNumberFormat="1" applyFill="1" applyBorder="1"/>
    <xf numFmtId="0" fontId="0" fillId="0" borderId="0" xfId="0" applyFont="1" applyBorder="1"/>
    <xf numFmtId="0" fontId="9" fillId="0" borderId="0" xfId="0" applyFont="1"/>
    <xf numFmtId="0" fontId="0" fillId="11" borderId="7" xfId="0" applyFill="1" applyBorder="1"/>
    <xf numFmtId="10" fontId="0" fillId="0" borderId="2" xfId="0" applyNumberFormat="1" applyBorder="1"/>
    <xf numFmtId="0" fontId="0" fillId="12" borderId="7" xfId="0" applyFill="1" applyBorder="1"/>
    <xf numFmtId="10" fontId="0" fillId="9" borderId="0" xfId="0" applyNumberFormat="1" applyFill="1" applyBorder="1"/>
    <xf numFmtId="164" fontId="0" fillId="11" borderId="0" xfId="0" applyNumberFormat="1" applyFill="1" applyBorder="1"/>
    <xf numFmtId="0" fontId="0" fillId="11" borderId="0" xfId="0" applyFill="1" applyBorder="1"/>
    <xf numFmtId="0" fontId="1" fillId="11" borderId="33" xfId="0" applyFont="1" applyFill="1" applyBorder="1"/>
    <xf numFmtId="2" fontId="0" fillId="11" borderId="34" xfId="0" applyNumberFormat="1" applyFill="1" applyBorder="1"/>
    <xf numFmtId="0" fontId="0" fillId="11" borderId="35" xfId="0" applyFill="1" applyBorder="1"/>
    <xf numFmtId="1" fontId="0" fillId="11" borderId="0" xfId="0" applyNumberFormat="1" applyFont="1" applyFill="1" applyBorder="1"/>
    <xf numFmtId="0" fontId="0" fillId="11" borderId="8" xfId="0" applyFill="1" applyBorder="1"/>
    <xf numFmtId="0" fontId="1" fillId="11" borderId="31" xfId="0" applyFont="1" applyFill="1" applyBorder="1"/>
    <xf numFmtId="0" fontId="1" fillId="11" borderId="32" xfId="0" applyFont="1" applyFill="1" applyBorder="1"/>
    <xf numFmtId="164" fontId="0" fillId="10" borderId="0" xfId="0" applyNumberFormat="1" applyFill="1" applyBorder="1"/>
    <xf numFmtId="0" fontId="0" fillId="10" borderId="0" xfId="0" applyFill="1" applyBorder="1"/>
    <xf numFmtId="0" fontId="0" fillId="12" borderId="0" xfId="0" applyFill="1" applyBorder="1"/>
    <xf numFmtId="10" fontId="0" fillId="7" borderId="0" xfId="0" applyNumberFormat="1" applyFill="1" applyBorder="1"/>
    <xf numFmtId="10" fontId="0" fillId="8" borderId="0" xfId="0" applyNumberFormat="1" applyFill="1" applyBorder="1"/>
    <xf numFmtId="10" fontId="0" fillId="5" borderId="0" xfId="0" applyNumberFormat="1" applyFill="1" applyBorder="1"/>
    <xf numFmtId="164" fontId="0" fillId="3" borderId="0" xfId="0" applyNumberFormat="1" applyFill="1" applyBorder="1"/>
    <xf numFmtId="10" fontId="0" fillId="3" borderId="0" xfId="0" applyNumberFormat="1" applyFill="1" applyBorder="1"/>
    <xf numFmtId="10" fontId="0" fillId="6" borderId="0" xfId="0" applyNumberFormat="1" applyFill="1" applyBorder="1"/>
    <xf numFmtId="164" fontId="0" fillId="13" borderId="0" xfId="0" applyNumberFormat="1" applyFill="1" applyBorder="1"/>
    <xf numFmtId="0" fontId="0" fillId="13" borderId="0" xfId="0" applyFill="1" applyBorder="1"/>
    <xf numFmtId="10" fontId="0" fillId="13" borderId="0" xfId="0" applyNumberFormat="1" applyFill="1" applyBorder="1"/>
    <xf numFmtId="0" fontId="0" fillId="13" borderId="7" xfId="0" applyFill="1" applyBorder="1"/>
    <xf numFmtId="0" fontId="0" fillId="0" borderId="2" xfId="0" applyFont="1" applyBorder="1"/>
    <xf numFmtId="0" fontId="0" fillId="11" borderId="9" xfId="0" applyFill="1" applyBorder="1"/>
    <xf numFmtId="0" fontId="0" fillId="10" borderId="9" xfId="0" applyFill="1" applyBorder="1"/>
    <xf numFmtId="164" fontId="1" fillId="11" borderId="17" xfId="0" applyNumberFormat="1" applyFont="1" applyFill="1" applyBorder="1"/>
    <xf numFmtId="0" fontId="1" fillId="10" borderId="33" xfId="0" applyFont="1" applyFill="1" applyBorder="1"/>
    <xf numFmtId="0" fontId="0" fillId="10" borderId="34" xfId="0" applyFill="1" applyBorder="1"/>
    <xf numFmtId="0" fontId="0" fillId="10" borderId="35" xfId="0" applyFill="1" applyBorder="1"/>
    <xf numFmtId="0" fontId="0" fillId="10" borderId="7" xfId="0" applyFont="1" applyFill="1" applyBorder="1"/>
    <xf numFmtId="0" fontId="0" fillId="10" borderId="8" xfId="0" applyFill="1" applyBorder="1"/>
    <xf numFmtId="0" fontId="1" fillId="10" borderId="31" xfId="0" applyFont="1" applyFill="1" applyBorder="1"/>
    <xf numFmtId="164" fontId="1" fillId="10" borderId="17" xfId="0" applyNumberFormat="1" applyFont="1" applyFill="1" applyBorder="1"/>
    <xf numFmtId="0" fontId="1" fillId="10" borderId="32" xfId="0" applyFont="1" applyFill="1" applyBorder="1"/>
    <xf numFmtId="0" fontId="0" fillId="13" borderId="8" xfId="0" applyFill="1" applyBorder="1"/>
    <xf numFmtId="164" fontId="1" fillId="3" borderId="17" xfId="0" applyNumberFormat="1" applyFont="1" applyFill="1" applyBorder="1"/>
    <xf numFmtId="164" fontId="0" fillId="3" borderId="14" xfId="0" applyNumberFormat="1" applyFill="1" applyBorder="1"/>
    <xf numFmtId="164" fontId="0" fillId="3" borderId="26" xfId="0" applyNumberFormat="1" applyFill="1" applyBorder="1"/>
    <xf numFmtId="0" fontId="0" fillId="6" borderId="0" xfId="0" applyNumberFormat="1" applyFill="1" applyBorder="1"/>
    <xf numFmtId="0" fontId="1" fillId="6" borderId="7" xfId="0" applyFont="1" applyFill="1" applyBorder="1"/>
    <xf numFmtId="0" fontId="1" fillId="6" borderId="8" xfId="0" applyFont="1" applyFill="1" applyBorder="1"/>
    <xf numFmtId="0" fontId="1" fillId="3" borderId="7" xfId="0" applyFont="1" applyFill="1" applyBorder="1"/>
    <xf numFmtId="164" fontId="1" fillId="3" borderId="0" xfId="0" applyNumberFormat="1" applyFont="1" applyFill="1" applyBorder="1"/>
    <xf numFmtId="0" fontId="1" fillId="3" borderId="8" xfId="0" applyFont="1" applyFill="1" applyBorder="1"/>
    <xf numFmtId="164" fontId="1" fillId="6" borderId="0" xfId="0" applyNumberFormat="1" applyFont="1" applyFill="1" applyBorder="1"/>
    <xf numFmtId="164" fontId="1" fillId="6" borderId="17" xfId="0" applyNumberFormat="1" applyFont="1" applyFill="1" applyBorder="1"/>
    <xf numFmtId="164" fontId="0" fillId="6" borderId="26" xfId="0" applyNumberFormat="1" applyFill="1" applyBorder="1"/>
    <xf numFmtId="164" fontId="0" fillId="4" borderId="14" xfId="0" applyNumberFormat="1" applyFill="1" applyBorder="1"/>
    <xf numFmtId="164" fontId="0" fillId="9" borderId="26" xfId="0" applyNumberFormat="1" applyFill="1" applyBorder="1"/>
    <xf numFmtId="164" fontId="0" fillId="5" borderId="26" xfId="0" applyNumberFormat="1" applyFill="1" applyBorder="1"/>
    <xf numFmtId="0" fontId="1" fillId="0" borderId="12" xfId="0" applyFont="1" applyFill="1" applyBorder="1" applyAlignment="1">
      <alignment horizontal="center"/>
    </xf>
    <xf numFmtId="0" fontId="1" fillId="0" borderId="20" xfId="0" applyFont="1" applyFill="1" applyBorder="1" applyAlignment="1">
      <alignment horizontal="center"/>
    </xf>
    <xf numFmtId="0" fontId="1" fillId="0" borderId="25" xfId="0" applyFont="1" applyFill="1" applyBorder="1" applyAlignment="1">
      <alignment horizontal="center"/>
    </xf>
    <xf numFmtId="164" fontId="0" fillId="11" borderId="26" xfId="0" applyNumberFormat="1" applyFill="1" applyBorder="1"/>
    <xf numFmtId="164" fontId="0" fillId="10" borderId="27" xfId="0" applyNumberFormat="1" applyFill="1" applyBorder="1"/>
    <xf numFmtId="164" fontId="0" fillId="2" borderId="12" xfId="0" applyNumberFormat="1" applyFill="1" applyBorder="1"/>
    <xf numFmtId="164" fontId="0" fillId="0" borderId="4" xfId="0" applyNumberFormat="1" applyBorder="1"/>
    <xf numFmtId="164" fontId="0" fillId="8" borderId="14" xfId="0" applyNumberFormat="1" applyFill="1" applyBorder="1"/>
    <xf numFmtId="164" fontId="0" fillId="8" borderId="26" xfId="0" applyNumberFormat="1" applyFill="1" applyBorder="1"/>
    <xf numFmtId="164" fontId="0" fillId="0" borderId="21" xfId="0" applyNumberFormat="1" applyBorder="1"/>
    <xf numFmtId="164" fontId="0" fillId="0" borderId="27" xfId="0" applyNumberFormat="1" applyBorder="1"/>
    <xf numFmtId="164" fontId="11" fillId="0" borderId="7" xfId="0" applyNumberFormat="1" applyFont="1" applyFill="1" applyBorder="1"/>
    <xf numFmtId="0" fontId="11" fillId="0" borderId="7" xfId="0" applyFont="1" applyFill="1" applyBorder="1"/>
    <xf numFmtId="0" fontId="11" fillId="0" borderId="26" xfId="0" applyFont="1" applyFill="1" applyBorder="1"/>
    <xf numFmtId="164" fontId="11" fillId="0" borderId="26" xfId="0" applyNumberFormat="1" applyFont="1" applyFill="1" applyBorder="1"/>
    <xf numFmtId="0" fontId="11" fillId="0" borderId="21" xfId="0" applyFont="1" applyFill="1" applyBorder="1"/>
    <xf numFmtId="164" fontId="11" fillId="0" borderId="27" xfId="0" applyNumberFormat="1" applyFont="1" applyFill="1" applyBorder="1"/>
    <xf numFmtId="0" fontId="11" fillId="0" borderId="20" xfId="0" applyFont="1" applyFill="1" applyBorder="1"/>
    <xf numFmtId="0" fontId="11" fillId="0" borderId="25" xfId="0" applyFont="1" applyFill="1" applyBorder="1"/>
    <xf numFmtId="164" fontId="1" fillId="8" borderId="0" xfId="0" applyNumberFormat="1" applyFont="1" applyFill="1" applyBorder="1"/>
    <xf numFmtId="0" fontId="0" fillId="13" borderId="9" xfId="0" applyFill="1" applyBorder="1"/>
    <xf numFmtId="0" fontId="0" fillId="13" borderId="23" xfId="0" applyFill="1" applyBorder="1"/>
    <xf numFmtId="2" fontId="0" fillId="13" borderId="7" xfId="0" applyNumberFormat="1" applyFill="1" applyBorder="1"/>
    <xf numFmtId="164" fontId="0" fillId="13" borderId="7" xfId="0" applyNumberFormat="1" applyFill="1" applyBorder="1"/>
    <xf numFmtId="164" fontId="11" fillId="8" borderId="7" xfId="0" applyNumberFormat="1" applyFont="1" applyFill="1" applyBorder="1"/>
    <xf numFmtId="164" fontId="11" fillId="8" borderId="26" xfId="0" applyNumberFormat="1" applyFont="1" applyFill="1" applyBorder="1"/>
    <xf numFmtId="0" fontId="1" fillId="8" borderId="7" xfId="0" applyFont="1" applyFill="1" applyBorder="1"/>
    <xf numFmtId="0" fontId="1" fillId="8" borderId="8" xfId="0" applyFont="1" applyFill="1" applyBorder="1"/>
    <xf numFmtId="3" fontId="0" fillId="0" borderId="0" xfId="0" applyNumberFormat="1" applyFill="1" applyBorder="1"/>
    <xf numFmtId="0" fontId="0" fillId="7" borderId="0" xfId="0" applyNumberFormat="1" applyFill="1" applyBorder="1"/>
    <xf numFmtId="4" fontId="0" fillId="7" borderId="0" xfId="0" applyNumberFormat="1" applyFill="1" applyBorder="1"/>
    <xf numFmtId="3" fontId="0" fillId="6" borderId="0" xfId="0" applyNumberFormat="1" applyFill="1" applyBorder="1"/>
    <xf numFmtId="4" fontId="1" fillId="7" borderId="0" xfId="0" applyNumberFormat="1" applyFont="1" applyFill="1" applyBorder="1"/>
    <xf numFmtId="0" fontId="11" fillId="0" borderId="23" xfId="0" applyFont="1" applyFill="1" applyBorder="1"/>
    <xf numFmtId="0" fontId="11" fillId="7" borderId="7" xfId="0" applyFont="1" applyFill="1" applyBorder="1"/>
    <xf numFmtId="0" fontId="11" fillId="7" borderId="26" xfId="0" applyFont="1" applyFill="1" applyBorder="1"/>
    <xf numFmtId="0" fontId="10" fillId="12" borderId="9" xfId="0" applyFont="1" applyFill="1" applyBorder="1"/>
    <xf numFmtId="0" fontId="10" fillId="12" borderId="0" xfId="0" applyFont="1" applyFill="1" applyBorder="1"/>
    <xf numFmtId="164" fontId="10" fillId="12" borderId="7" xfId="0" applyNumberFormat="1" applyFont="1" applyFill="1" applyBorder="1"/>
    <xf numFmtId="0" fontId="10" fillId="12" borderId="7" xfId="0" applyFont="1" applyFill="1" applyBorder="1"/>
    <xf numFmtId="2" fontId="10" fillId="12" borderId="7" xfId="0" applyNumberFormat="1" applyFont="1" applyFill="1" applyBorder="1"/>
    <xf numFmtId="0" fontId="10" fillId="12" borderId="26" xfId="0" applyFont="1" applyFill="1" applyBorder="1"/>
    <xf numFmtId="0" fontId="12" fillId="12" borderId="33" xfId="0" applyFont="1" applyFill="1" applyBorder="1"/>
    <xf numFmtId="0" fontId="0" fillId="12" borderId="34" xfId="0" applyFill="1" applyBorder="1"/>
    <xf numFmtId="0" fontId="0" fillId="12" borderId="35" xfId="0" applyFill="1" applyBorder="1"/>
    <xf numFmtId="4" fontId="0" fillId="12" borderId="0" xfId="0" applyNumberFormat="1" applyFill="1" applyBorder="1"/>
    <xf numFmtId="0" fontId="0" fillId="12" borderId="0" xfId="0" applyNumberFormat="1" applyFill="1" applyBorder="1"/>
    <xf numFmtId="0" fontId="0" fillId="12" borderId="8" xfId="0" applyNumberFormat="1" applyFill="1" applyBorder="1"/>
    <xf numFmtId="0" fontId="1" fillId="12" borderId="8" xfId="0" applyFont="1" applyFill="1" applyBorder="1"/>
    <xf numFmtId="3" fontId="0" fillId="12" borderId="0" xfId="0" applyNumberFormat="1" applyFill="1" applyBorder="1"/>
    <xf numFmtId="4" fontId="1" fillId="12" borderId="8" xfId="0" applyNumberFormat="1" applyFont="1" applyFill="1" applyBorder="1"/>
    <xf numFmtId="0" fontId="0" fillId="12" borderId="31" xfId="0" applyFill="1" applyBorder="1"/>
    <xf numFmtId="0" fontId="0" fillId="12" borderId="17" xfId="0" applyFill="1" applyBorder="1"/>
    <xf numFmtId="0" fontId="1" fillId="12" borderId="17" xfId="0" applyFont="1" applyFill="1" applyBorder="1"/>
    <xf numFmtId="4" fontId="1" fillId="12" borderId="32" xfId="0" applyNumberFormat="1" applyFont="1" applyFill="1" applyBorder="1"/>
    <xf numFmtId="164" fontId="0" fillId="2" borderId="25" xfId="0" applyNumberFormat="1" applyFill="1" applyBorder="1"/>
    <xf numFmtId="164" fontId="0" fillId="7" borderId="14" xfId="0" applyNumberFormat="1" applyFill="1" applyBorder="1"/>
    <xf numFmtId="164" fontId="0" fillId="7" borderId="26" xfId="0" applyNumberFormat="1" applyFill="1" applyBorder="1"/>
    <xf numFmtId="164" fontId="10" fillId="12" borderId="14" xfId="0" applyNumberFormat="1" applyFont="1" applyFill="1" applyBorder="1"/>
    <xf numFmtId="164" fontId="10" fillId="12" borderId="26" xfId="0" applyNumberFormat="1" applyFont="1" applyFill="1" applyBorder="1"/>
    <xf numFmtId="164" fontId="0" fillId="9" borderId="14" xfId="0" applyNumberFormat="1" applyFill="1" applyBorder="1"/>
    <xf numFmtId="164" fontId="0" fillId="13" borderId="14" xfId="0" applyNumberFormat="1" applyFill="1" applyBorder="1"/>
    <xf numFmtId="164" fontId="0" fillId="13" borderId="26" xfId="0" applyNumberFormat="1" applyFill="1" applyBorder="1"/>
    <xf numFmtId="164" fontId="0" fillId="4" borderId="26" xfId="0" applyNumberFormat="1" applyFill="1" applyBorder="1"/>
    <xf numFmtId="164" fontId="0" fillId="11" borderId="14" xfId="0" applyNumberFormat="1" applyFill="1" applyBorder="1"/>
    <xf numFmtId="164" fontId="0" fillId="11" borderId="7" xfId="0" applyNumberFormat="1" applyFill="1" applyBorder="1"/>
    <xf numFmtId="164" fontId="0" fillId="10" borderId="4" xfId="0" applyNumberFormat="1" applyFill="1" applyBorder="1"/>
    <xf numFmtId="164" fontId="0" fillId="10" borderId="21" xfId="0" applyNumberFormat="1" applyFill="1" applyBorder="1"/>
    <xf numFmtId="2" fontId="0" fillId="11" borderId="7" xfId="0" applyNumberFormat="1" applyFill="1" applyBorder="1"/>
    <xf numFmtId="2" fontId="0" fillId="10" borderId="21" xfId="0" applyNumberFormat="1" applyFill="1" applyBorder="1"/>
    <xf numFmtId="10" fontId="0" fillId="2" borderId="11" xfId="0" applyNumberFormat="1" applyFill="1" applyBorder="1"/>
    <xf numFmtId="10" fontId="10" fillId="12" borderId="0" xfId="0" applyNumberFormat="1" applyFont="1" applyFill="1" applyBorder="1"/>
    <xf numFmtId="10" fontId="0" fillId="4" borderId="0" xfId="0" applyNumberFormat="1" applyFill="1" applyBorder="1"/>
    <xf numFmtId="164" fontId="1" fillId="2" borderId="10" xfId="0" applyNumberFormat="1" applyFont="1" applyFill="1" applyBorder="1"/>
    <xf numFmtId="164" fontId="1" fillId="7" borderId="9" xfId="0" applyNumberFormat="1" applyFont="1" applyFill="1" applyBorder="1"/>
    <xf numFmtId="164" fontId="12" fillId="12" borderId="9" xfId="0" applyNumberFormat="1" applyFont="1" applyFill="1" applyBorder="1"/>
    <xf numFmtId="164" fontId="1" fillId="6" borderId="9" xfId="0" applyNumberFormat="1" applyFont="1" applyFill="1" applyBorder="1"/>
    <xf numFmtId="164" fontId="1" fillId="3" borderId="9" xfId="0" applyNumberFormat="1" applyFont="1" applyFill="1" applyBorder="1"/>
    <xf numFmtId="164" fontId="1" fillId="9" borderId="9" xfId="0" applyNumberFormat="1" applyFont="1" applyFill="1" applyBorder="1"/>
    <xf numFmtId="164" fontId="1" fillId="13" borderId="9" xfId="0" applyNumberFormat="1" applyFont="1" applyFill="1" applyBorder="1"/>
    <xf numFmtId="164" fontId="1" fillId="4" borderId="9" xfId="0" applyNumberFormat="1" applyFont="1" applyFill="1" applyBorder="1"/>
    <xf numFmtId="164" fontId="1" fillId="8" borderId="9" xfId="0" applyNumberFormat="1" applyFont="1" applyFill="1" applyBorder="1"/>
    <xf numFmtId="164" fontId="1" fillId="5" borderId="9" xfId="0" applyNumberFormat="1" applyFont="1" applyFill="1" applyBorder="1"/>
    <xf numFmtId="164" fontId="1" fillId="11" borderId="9" xfId="0" applyNumberFormat="1" applyFont="1" applyFill="1" applyBorder="1"/>
    <xf numFmtId="164" fontId="1" fillId="10" borderId="16" xfId="0" applyNumberFormat="1" applyFont="1" applyFill="1" applyBorder="1"/>
    <xf numFmtId="0" fontId="1" fillId="4" borderId="31" xfId="0" applyFont="1" applyFill="1" applyBorder="1"/>
    <xf numFmtId="0" fontId="1" fillId="4" borderId="32" xfId="0" applyFont="1" applyFill="1" applyBorder="1"/>
    <xf numFmtId="0" fontId="0" fillId="4" borderId="30" xfId="0" applyFont="1" applyFill="1" applyBorder="1"/>
    <xf numFmtId="0" fontId="0" fillId="4" borderId="0" xfId="0" applyFill="1" applyBorder="1"/>
    <xf numFmtId="4" fontId="1" fillId="4" borderId="32" xfId="0" applyNumberFormat="1" applyFont="1" applyFill="1" applyBorder="1"/>
    <xf numFmtId="0" fontId="1" fillId="13" borderId="33" xfId="0" applyFont="1" applyFill="1" applyBorder="1"/>
    <xf numFmtId="2" fontId="0" fillId="13" borderId="34" xfId="0" applyNumberFormat="1" applyFill="1" applyBorder="1"/>
    <xf numFmtId="0" fontId="0" fillId="13" borderId="35" xfId="0" applyFill="1" applyBorder="1"/>
    <xf numFmtId="0" fontId="0" fillId="13" borderId="28" xfId="0" applyFont="1" applyFill="1" applyBorder="1"/>
    <xf numFmtId="0" fontId="0" fillId="13" borderId="30" xfId="0" applyFont="1" applyFill="1" applyBorder="1"/>
    <xf numFmtId="0" fontId="1" fillId="13" borderId="31" xfId="0" applyFont="1" applyFill="1" applyBorder="1"/>
    <xf numFmtId="4" fontId="1" fillId="13" borderId="32" xfId="0" applyNumberFormat="1" applyFont="1" applyFill="1" applyBorder="1"/>
    <xf numFmtId="0" fontId="1" fillId="13" borderId="32" xfId="0" applyFont="1" applyFill="1" applyBorder="1"/>
    <xf numFmtId="0" fontId="0" fillId="2" borderId="20" xfId="0" applyNumberFormat="1" applyFill="1" applyBorder="1"/>
    <xf numFmtId="0" fontId="0" fillId="7" borderId="7" xfId="0" applyNumberFormat="1" applyFill="1" applyBorder="1"/>
    <xf numFmtId="0" fontId="10" fillId="12" borderId="7" xfId="0" applyNumberFormat="1" applyFont="1" applyFill="1" applyBorder="1"/>
    <xf numFmtId="0" fontId="0" fillId="6" borderId="7" xfId="0" applyNumberFormat="1" applyFill="1" applyBorder="1"/>
    <xf numFmtId="0" fontId="0" fillId="3" borderId="7" xfId="0" applyNumberFormat="1" applyFill="1" applyBorder="1"/>
    <xf numFmtId="0" fontId="0" fillId="9" borderId="7" xfId="0" applyNumberFormat="1" applyFill="1" applyBorder="1"/>
    <xf numFmtId="0" fontId="0" fillId="13" borderId="7" xfId="0" applyNumberFormat="1" applyFill="1" applyBorder="1"/>
    <xf numFmtId="0" fontId="0" fillId="8" borderId="7" xfId="0" applyNumberFormat="1" applyFill="1" applyBorder="1"/>
    <xf numFmtId="0" fontId="0" fillId="9" borderId="23" xfId="0" applyNumberFormat="1" applyFill="1" applyBorder="1"/>
    <xf numFmtId="0" fontId="0" fillId="11" borderId="23" xfId="0" applyNumberFormat="1" applyFill="1" applyBorder="1"/>
    <xf numFmtId="0" fontId="0" fillId="10" borderId="36" xfId="0" applyNumberFormat="1" applyFill="1" applyBorder="1"/>
    <xf numFmtId="0" fontId="0" fillId="0" borderId="7" xfId="0" applyFont="1" applyBorder="1"/>
    <xf numFmtId="0" fontId="0" fillId="0" borderId="14" xfId="0" applyFont="1" applyBorder="1"/>
    <xf numFmtId="164" fontId="0" fillId="0" borderId="7" xfId="0" applyNumberFormat="1" applyFont="1" applyBorder="1"/>
    <xf numFmtId="0" fontId="0" fillId="0" borderId="26" xfId="0" applyFont="1" applyBorder="1"/>
    <xf numFmtId="0" fontId="2" fillId="0" borderId="0" xfId="1" applyFont="1" applyAlignment="1" applyProtection="1"/>
    <xf numFmtId="2" fontId="0" fillId="0" borderId="10" xfId="0" applyNumberFormat="1" applyFont="1" applyBorder="1"/>
    <xf numFmtId="164" fontId="1" fillId="0" borderId="0" xfId="0" applyNumberFormat="1" applyFont="1" applyFill="1" applyBorder="1"/>
    <xf numFmtId="164" fontId="12" fillId="0" borderId="0" xfId="0" applyNumberFormat="1" applyFont="1" applyFill="1" applyBorder="1"/>
    <xf numFmtId="165" fontId="0" fillId="0" borderId="0" xfId="0" applyNumberFormat="1"/>
    <xf numFmtId="2" fontId="0" fillId="0" borderId="12" xfId="0" applyNumberFormat="1" applyBorder="1"/>
    <xf numFmtId="2" fontId="0" fillId="0" borderId="14" xfId="0" applyNumberFormat="1" applyBorder="1"/>
    <xf numFmtId="164" fontId="0" fillId="0" borderId="9" xfId="0" applyNumberFormat="1" applyFont="1" applyBorder="1"/>
    <xf numFmtId="164" fontId="1" fillId="0" borderId="0" xfId="0" applyNumberFormat="1" applyFont="1" applyBorder="1"/>
    <xf numFmtId="0" fontId="0" fillId="0" borderId="12" xfId="0" applyFill="1" applyBorder="1"/>
    <xf numFmtId="4" fontId="0" fillId="0" borderId="0" xfId="0" applyNumberFormat="1"/>
    <xf numFmtId="0" fontId="1" fillId="15" borderId="33" xfId="0" applyFont="1" applyFill="1" applyBorder="1"/>
    <xf numFmtId="164" fontId="1" fillId="15" borderId="34" xfId="0" applyNumberFormat="1" applyFont="1" applyFill="1" applyBorder="1"/>
    <xf numFmtId="0" fontId="1" fillId="15" borderId="35" xfId="0" applyFont="1" applyFill="1" applyBorder="1"/>
    <xf numFmtId="0" fontId="0" fillId="15" borderId="8" xfId="0" applyFont="1" applyFill="1" applyBorder="1"/>
    <xf numFmtId="0" fontId="0" fillId="15" borderId="9" xfId="0" applyFill="1" applyBorder="1"/>
    <xf numFmtId="164" fontId="0" fillId="15" borderId="0" xfId="0" applyNumberFormat="1" applyFill="1" applyBorder="1"/>
    <xf numFmtId="0" fontId="0" fillId="15" borderId="23" xfId="0" applyFill="1" applyBorder="1"/>
    <xf numFmtId="0" fontId="0" fillId="15" borderId="7" xfId="0" applyFill="1" applyBorder="1"/>
    <xf numFmtId="0" fontId="0" fillId="15" borderId="7" xfId="0" applyNumberFormat="1" applyFill="1" applyBorder="1"/>
    <xf numFmtId="2" fontId="0" fillId="15" borderId="7" xfId="0" applyNumberFormat="1" applyFill="1" applyBorder="1"/>
    <xf numFmtId="164" fontId="1" fillId="15" borderId="9" xfId="0" applyNumberFormat="1" applyFont="1" applyFill="1" applyBorder="1"/>
    <xf numFmtId="10" fontId="0" fillId="15" borderId="0" xfId="0" applyNumberFormat="1" applyFill="1" applyBorder="1"/>
    <xf numFmtId="164" fontId="0" fillId="15" borderId="14" xfId="0" applyNumberFormat="1" applyFill="1" applyBorder="1"/>
    <xf numFmtId="164" fontId="0" fillId="15" borderId="7" xfId="0" applyNumberFormat="1" applyFill="1" applyBorder="1"/>
    <xf numFmtId="164" fontId="0" fillId="15" borderId="26" xfId="0" applyNumberFormat="1" applyFill="1" applyBorder="1"/>
    <xf numFmtId="3" fontId="0" fillId="0" borderId="0" xfId="0" applyNumberFormat="1" applyFill="1"/>
    <xf numFmtId="2" fontId="0" fillId="0" borderId="0" xfId="0" applyNumberFormat="1" applyFill="1"/>
    <xf numFmtId="0" fontId="0" fillId="0" borderId="32" xfId="0" applyBorder="1"/>
    <xf numFmtId="0" fontId="0" fillId="0" borderId="31" xfId="0" applyFill="1" applyBorder="1"/>
    <xf numFmtId="166" fontId="0" fillId="0" borderId="0" xfId="0" applyNumberFormat="1"/>
    <xf numFmtId="0" fontId="0" fillId="0" borderId="0" xfId="0" applyFont="1" applyFill="1" applyBorder="1"/>
    <xf numFmtId="0" fontId="1" fillId="7" borderId="7" xfId="0" applyFont="1" applyFill="1" applyBorder="1"/>
    <xf numFmtId="11" fontId="0" fillId="0" borderId="0" xfId="0" applyNumberFormat="1" applyFill="1" applyBorder="1"/>
    <xf numFmtId="10" fontId="0" fillId="10" borderId="0" xfId="0" applyNumberFormat="1" applyFill="1" applyBorder="1"/>
    <xf numFmtId="0" fontId="11" fillId="0" borderId="0" xfId="0" applyFont="1" applyFill="1" applyBorder="1"/>
    <xf numFmtId="10" fontId="0" fillId="11" borderId="0" xfId="0" applyNumberFormat="1" applyFill="1" applyBorder="1"/>
    <xf numFmtId="0" fontId="0" fillId="10" borderId="21" xfId="0" applyFill="1" applyBorder="1"/>
    <xf numFmtId="0" fontId="0" fillId="5" borderId="7" xfId="0" applyNumberFormat="1" applyFill="1" applyBorder="1"/>
    <xf numFmtId="164" fontId="0" fillId="9" borderId="23" xfId="0" applyNumberFormat="1" applyFill="1" applyBorder="1"/>
    <xf numFmtId="164" fontId="0" fillId="8" borderId="23" xfId="0" applyNumberFormat="1" applyFill="1" applyBorder="1"/>
    <xf numFmtId="164" fontId="0" fillId="5" borderId="23" xfId="0" applyNumberFormat="1" applyFill="1" applyBorder="1"/>
    <xf numFmtId="164" fontId="0" fillId="11" borderId="23" xfId="0" applyNumberFormat="1" applyFill="1" applyBorder="1"/>
    <xf numFmtId="0" fontId="1" fillId="0" borderId="11" xfId="0" applyFont="1" applyFill="1" applyBorder="1" applyAlignment="1">
      <alignment horizontal="center"/>
    </xf>
    <xf numFmtId="164" fontId="11" fillId="0" borderId="11" xfId="0" applyNumberFormat="1" applyFont="1" applyFill="1" applyBorder="1"/>
    <xf numFmtId="0" fontId="11" fillId="7" borderId="0" xfId="0" applyFont="1" applyFill="1" applyBorder="1"/>
    <xf numFmtId="164" fontId="0" fillId="6" borderId="0" xfId="0" applyNumberFormat="1" applyFill="1" applyBorder="1"/>
    <xf numFmtId="164" fontId="11" fillId="0" borderId="0" xfId="0" applyNumberFormat="1" applyFont="1" applyFill="1" applyBorder="1"/>
    <xf numFmtId="164" fontId="11" fillId="8" borderId="0" xfId="0" applyNumberFormat="1" applyFont="1" applyFill="1" applyBorder="1"/>
    <xf numFmtId="0" fontId="11" fillId="0" borderId="5" xfId="0" applyFont="1" applyFill="1" applyBorder="1"/>
    <xf numFmtId="0" fontId="1" fillId="5" borderId="28" xfId="0" applyFont="1" applyFill="1" applyBorder="1"/>
    <xf numFmtId="2" fontId="0" fillId="5" borderId="29" xfId="0" applyNumberFormat="1" applyFill="1" applyBorder="1"/>
    <xf numFmtId="0" fontId="0" fillId="5" borderId="30" xfId="0" applyFill="1" applyBorder="1"/>
    <xf numFmtId="0" fontId="0" fillId="5" borderId="28" xfId="0" applyFill="1" applyBorder="1"/>
    <xf numFmtId="1" fontId="0" fillId="0" borderId="21" xfId="0" applyNumberFormat="1" applyBorder="1"/>
    <xf numFmtId="2" fontId="0" fillId="2" borderId="11" xfId="0" applyNumberFormat="1" applyFill="1" applyBorder="1"/>
    <xf numFmtId="2" fontId="0" fillId="0" borderId="17" xfId="0" applyNumberFormat="1" applyBorder="1"/>
    <xf numFmtId="164" fontId="0" fillId="0" borderId="29" xfId="0" applyNumberFormat="1" applyFont="1" applyBorder="1"/>
    <xf numFmtId="0" fontId="1" fillId="0" borderId="28" xfId="0" applyFont="1" applyBorder="1"/>
    <xf numFmtId="0" fontId="0" fillId="0" borderId="30" xfId="0" applyFont="1" applyBorder="1"/>
    <xf numFmtId="0" fontId="0" fillId="0" borderId="28" xfId="0" applyBorder="1"/>
    <xf numFmtId="2" fontId="0" fillId="0" borderId="29" xfId="0" applyNumberFormat="1" applyBorder="1"/>
    <xf numFmtId="0" fontId="0" fillId="0" borderId="30" xfId="0" applyBorder="1"/>
    <xf numFmtId="0" fontId="0" fillId="2" borderId="31" xfId="0" applyFill="1" applyBorder="1"/>
    <xf numFmtId="2" fontId="0" fillId="2" borderId="17" xfId="0" applyNumberFormat="1" applyFill="1" applyBorder="1"/>
    <xf numFmtId="0" fontId="0" fillId="2" borderId="32" xfId="0" applyFill="1" applyBorder="1"/>
    <xf numFmtId="2" fontId="0" fillId="3" borderId="0" xfId="0" applyNumberFormat="1" applyFill="1" applyBorder="1"/>
    <xf numFmtId="0" fontId="0" fillId="6" borderId="8" xfId="0" applyNumberFormat="1" applyFill="1" applyBorder="1"/>
    <xf numFmtId="0" fontId="0" fillId="15" borderId="31" xfId="0" applyFill="1" applyBorder="1"/>
    <xf numFmtId="2" fontId="0" fillId="15" borderId="17" xfId="0" applyNumberFormat="1" applyFont="1" applyFill="1" applyBorder="1"/>
    <xf numFmtId="0" fontId="0" fillId="15" borderId="32" xfId="0" applyFont="1" applyFill="1" applyBorder="1"/>
    <xf numFmtId="164" fontId="0" fillId="5" borderId="0" xfId="0" applyNumberFormat="1" applyFont="1" applyFill="1" applyBorder="1"/>
    <xf numFmtId="0" fontId="0" fillId="5" borderId="7" xfId="0" applyFont="1" applyFill="1" applyBorder="1"/>
    <xf numFmtId="0" fontId="0" fillId="5" borderId="8" xfId="0" applyFont="1" applyFill="1" applyBorder="1"/>
    <xf numFmtId="164" fontId="0" fillId="9" borderId="17" xfId="0" applyNumberFormat="1" applyFill="1" applyBorder="1"/>
    <xf numFmtId="0" fontId="0" fillId="7" borderId="32" xfId="0" applyFill="1" applyBorder="1"/>
    <xf numFmtId="2" fontId="0" fillId="0" borderId="5" xfId="0" applyNumberFormat="1" applyBorder="1"/>
    <xf numFmtId="2" fontId="0" fillId="0" borderId="9" xfId="0" applyNumberFormat="1" applyFont="1" applyBorder="1"/>
    <xf numFmtId="2" fontId="0" fillId="0" borderId="16" xfId="0" applyNumberFormat="1" applyFont="1" applyFill="1" applyBorder="1"/>
    <xf numFmtId="2" fontId="0" fillId="15" borderId="0" xfId="0" applyNumberFormat="1" applyFill="1" applyBorder="1"/>
    <xf numFmtId="0" fontId="0" fillId="15" borderId="28" xfId="0" applyFill="1" applyBorder="1"/>
    <xf numFmtId="2" fontId="0" fillId="15" borderId="29" xfId="0" applyNumberFormat="1" applyFont="1" applyFill="1" applyBorder="1"/>
    <xf numFmtId="0" fontId="0" fillId="15" borderId="30" xfId="0" applyFont="1" applyFill="1" applyBorder="1"/>
    <xf numFmtId="0" fontId="1" fillId="15" borderId="7" xfId="0" applyFont="1" applyFill="1" applyBorder="1"/>
    <xf numFmtId="2" fontId="1" fillId="15" borderId="0" xfId="0" applyNumberFormat="1" applyFont="1" applyFill="1" applyBorder="1"/>
    <xf numFmtId="0" fontId="1" fillId="15" borderId="8" xfId="0" applyFont="1" applyFill="1" applyBorder="1"/>
    <xf numFmtId="0" fontId="1" fillId="14" borderId="0" xfId="0" applyFont="1" applyFill="1" applyBorder="1" applyAlignment="1">
      <alignment horizontal="center"/>
    </xf>
    <xf numFmtId="0" fontId="0" fillId="14" borderId="39" xfId="0" applyFill="1" applyBorder="1" applyAlignment="1">
      <alignment vertical="top" wrapText="1"/>
    </xf>
    <xf numFmtId="0" fontId="0" fillId="14" borderId="0" xfId="0" applyFont="1" applyFill="1" applyBorder="1" applyAlignment="1">
      <alignment vertical="top" wrapText="1"/>
    </xf>
    <xf numFmtId="0" fontId="0" fillId="14" borderId="0" xfId="0" applyFill="1" applyBorder="1" applyAlignment="1">
      <alignment vertical="top" wrapText="1"/>
    </xf>
    <xf numFmtId="2" fontId="0" fillId="7" borderId="17" xfId="0" applyNumberFormat="1" applyFill="1" applyBorder="1"/>
    <xf numFmtId="0" fontId="1" fillId="7" borderId="17" xfId="0" applyFont="1" applyFill="1" applyBorder="1"/>
    <xf numFmtId="4" fontId="1" fillId="7" borderId="17" xfId="0" applyNumberFormat="1" applyFont="1" applyFill="1" applyBorder="1"/>
    <xf numFmtId="0" fontId="0" fillId="0" borderId="34" xfId="0" applyFill="1" applyBorder="1"/>
    <xf numFmtId="0" fontId="0" fillId="0" borderId="35" xfId="0" applyFill="1" applyBorder="1"/>
    <xf numFmtId="0" fontId="0" fillId="0" borderId="8" xfId="0" applyFill="1" applyBorder="1"/>
    <xf numFmtId="0" fontId="0" fillId="0" borderId="33" xfId="0" applyBorder="1"/>
    <xf numFmtId="0" fontId="0" fillId="0" borderId="1" xfId="0" applyBorder="1"/>
    <xf numFmtId="0" fontId="0" fillId="0" borderId="18" xfId="0" applyBorder="1" applyAlignment="1">
      <alignment horizontal="center"/>
    </xf>
    <xf numFmtId="2" fontId="0" fillId="0" borderId="16" xfId="0" applyNumberFormat="1" applyFont="1" applyBorder="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164" fontId="0" fillId="0" borderId="1" xfId="0" applyNumberFormat="1" applyBorder="1" applyAlignment="1">
      <alignment horizontal="center"/>
    </xf>
    <xf numFmtId="0" fontId="0" fillId="14" borderId="41" xfId="0" applyFont="1" applyFill="1" applyBorder="1" applyAlignment="1">
      <alignment vertical="top" wrapText="1"/>
    </xf>
    <xf numFmtId="0" fontId="0" fillId="14" borderId="43" xfId="0" applyFont="1" applyFill="1" applyBorder="1" applyAlignment="1">
      <alignment vertical="top" wrapText="1"/>
    </xf>
    <xf numFmtId="0" fontId="0" fillId="14" borderId="44" xfId="0" applyFont="1" applyFill="1" applyBorder="1" applyAlignment="1">
      <alignment vertical="top" wrapText="1"/>
    </xf>
    <xf numFmtId="0" fontId="10" fillId="14" borderId="39" xfId="0" applyFont="1" applyFill="1" applyBorder="1" applyAlignment="1">
      <alignment vertical="top" wrapText="1"/>
    </xf>
    <xf numFmtId="0" fontId="0" fillId="14" borderId="42" xfId="0" applyFont="1" applyFill="1" applyBorder="1" applyAlignment="1">
      <alignment vertical="top" wrapText="1"/>
    </xf>
    <xf numFmtId="3" fontId="0" fillId="4" borderId="29" xfId="0" applyNumberFormat="1" applyFill="1" applyBorder="1"/>
    <xf numFmtId="3" fontId="0" fillId="13" borderId="29" xfId="0" applyNumberFormat="1" applyFont="1" applyFill="1" applyBorder="1"/>
    <xf numFmtId="0" fontId="0" fillId="4" borderId="28" xfId="0" applyFill="1" applyBorder="1"/>
    <xf numFmtId="0" fontId="16" fillId="0" borderId="0" xfId="0" applyFont="1"/>
    <xf numFmtId="0" fontId="0" fillId="0" borderId="4" xfId="0" applyFont="1" applyBorder="1"/>
    <xf numFmtId="2" fontId="0" fillId="0" borderId="4" xfId="0" applyNumberFormat="1" applyFont="1" applyBorder="1"/>
    <xf numFmtId="0" fontId="7" fillId="0" borderId="0" xfId="0" applyFont="1" applyBorder="1"/>
    <xf numFmtId="0" fontId="8" fillId="0" borderId="0" xfId="0" applyFont="1" applyBorder="1"/>
    <xf numFmtId="164" fontId="1" fillId="0" borderId="0" xfId="0" applyNumberFormat="1" applyFont="1" applyBorder="1" applyAlignment="1">
      <alignment horizontal="center"/>
    </xf>
    <xf numFmtId="164" fontId="0" fillId="0" borderId="1" xfId="0" applyNumberFormat="1" applyFill="1" applyBorder="1"/>
    <xf numFmtId="164" fontId="0" fillId="0" borderId="18" xfId="0" applyNumberFormat="1" applyFill="1" applyBorder="1"/>
    <xf numFmtId="0" fontId="1" fillId="0" borderId="10" xfId="0" applyFont="1" applyFill="1" applyBorder="1" applyAlignment="1">
      <alignment horizontal="center"/>
    </xf>
    <xf numFmtId="0" fontId="1" fillId="0" borderId="16" xfId="0" applyFont="1" applyFill="1" applyBorder="1" applyAlignment="1">
      <alignment horizontal="center"/>
    </xf>
    <xf numFmtId="0" fontId="1" fillId="0" borderId="5" xfId="0" applyFont="1" applyFill="1" applyBorder="1" applyAlignment="1">
      <alignment horizontal="center"/>
    </xf>
    <xf numFmtId="0" fontId="1" fillId="0" borderId="10" xfId="0" applyFont="1" applyFill="1" applyBorder="1" applyAlignment="1">
      <alignment horizontal="left"/>
    </xf>
    <xf numFmtId="0" fontId="0" fillId="0" borderId="10" xfId="0" applyFill="1" applyBorder="1"/>
    <xf numFmtId="0" fontId="0" fillId="0" borderId="11" xfId="0" applyFill="1" applyBorder="1"/>
    <xf numFmtId="164" fontId="0" fillId="0" borderId="9" xfId="0" applyNumberFormat="1" applyFill="1" applyBorder="1"/>
    <xf numFmtId="0" fontId="0" fillId="0" borderId="0" xfId="0" applyNumberFormat="1" applyFill="1" applyBorder="1"/>
    <xf numFmtId="0" fontId="10" fillId="0" borderId="9" xfId="0" applyFont="1" applyFill="1" applyBorder="1"/>
    <xf numFmtId="0" fontId="0" fillId="0" borderId="16" xfId="0" applyFill="1" applyBorder="1"/>
    <xf numFmtId="164" fontId="0" fillId="0" borderId="16" xfId="0" applyNumberFormat="1" applyFill="1" applyBorder="1"/>
    <xf numFmtId="164" fontId="0" fillId="0" borderId="5" xfId="0" applyNumberFormat="1" applyFill="1" applyBorder="1"/>
    <xf numFmtId="0" fontId="1" fillId="0" borderId="12" xfId="0" applyFont="1" applyFill="1" applyBorder="1" applyAlignment="1">
      <alignment horizontal="left"/>
    </xf>
    <xf numFmtId="0" fontId="0" fillId="0" borderId="5" xfId="0" applyNumberFormat="1" applyFill="1" applyBorder="1"/>
    <xf numFmtId="0" fontId="1" fillId="0" borderId="4" xfId="0" applyFont="1" applyFill="1" applyBorder="1"/>
    <xf numFmtId="0" fontId="5" fillId="0" borderId="0" xfId="0" applyFont="1" applyFill="1"/>
    <xf numFmtId="2" fontId="0" fillId="0" borderId="5" xfId="0" applyNumberFormat="1" applyFont="1" applyFill="1" applyBorder="1"/>
    <xf numFmtId="2" fontId="0" fillId="0" borderId="18" xfId="0" applyNumberFormat="1" applyFont="1" applyFill="1" applyBorder="1"/>
    <xf numFmtId="164" fontId="0" fillId="0" borderId="0" xfId="0" applyNumberFormat="1"/>
    <xf numFmtId="0" fontId="1" fillId="0" borderId="0" xfId="0" applyFont="1" applyFill="1" applyBorder="1"/>
    <xf numFmtId="0" fontId="0" fillId="0" borderId="0" xfId="0" applyFill="1"/>
    <xf numFmtId="164" fontId="0" fillId="0" borderId="0" xfId="0" applyNumberFormat="1" applyBorder="1"/>
    <xf numFmtId="0" fontId="0" fillId="0" borderId="0" xfId="0" applyFill="1" applyBorder="1"/>
    <xf numFmtId="164" fontId="0" fillId="0" borderId="9" xfId="0" applyNumberFormat="1" applyBorder="1"/>
    <xf numFmtId="0" fontId="1" fillId="0" borderId="18" xfId="0" applyFont="1" applyBorder="1" applyAlignment="1">
      <alignment horizontal="center"/>
    </xf>
    <xf numFmtId="0" fontId="0" fillId="0" borderId="9" xfId="0" applyBorder="1"/>
    <xf numFmtId="164" fontId="0" fillId="0" borderId="10" xfId="0" applyNumberFormat="1" applyBorder="1"/>
    <xf numFmtId="0" fontId="0" fillId="0" borderId="0" xfId="0" applyBorder="1"/>
    <xf numFmtId="0" fontId="0" fillId="0" borderId="10" xfId="0" applyBorder="1"/>
    <xf numFmtId="0" fontId="0" fillId="0" borderId="16" xfId="0" applyBorder="1"/>
    <xf numFmtId="0" fontId="1" fillId="0" borderId="3" xfId="0" applyFont="1" applyBorder="1" applyAlignment="1">
      <alignment horizontal="center"/>
    </xf>
    <xf numFmtId="2" fontId="0" fillId="0" borderId="10" xfId="0" applyNumberFormat="1" applyBorder="1"/>
    <xf numFmtId="2" fontId="0" fillId="0" borderId="9" xfId="0" applyNumberFormat="1" applyBorder="1"/>
    <xf numFmtId="0" fontId="1" fillId="0" borderId="12" xfId="0" applyFont="1" applyBorder="1" applyAlignment="1">
      <alignment horizontal="center"/>
    </xf>
    <xf numFmtId="0" fontId="1" fillId="0" borderId="10" xfId="0" applyFont="1" applyBorder="1" applyAlignment="1">
      <alignment horizontal="center"/>
    </xf>
    <xf numFmtId="164" fontId="0" fillId="3" borderId="0" xfId="0" applyNumberFormat="1" applyFill="1" applyBorder="1"/>
    <xf numFmtId="0" fontId="0" fillId="14" borderId="37" xfId="0" applyFill="1" applyBorder="1" applyAlignment="1">
      <alignment vertical="top" wrapText="1"/>
    </xf>
    <xf numFmtId="2" fontId="0" fillId="0" borderId="2" xfId="0" applyNumberFormat="1" applyBorder="1"/>
    <xf numFmtId="2" fontId="0" fillId="0" borderId="3" xfId="0" applyNumberFormat="1" applyBorder="1"/>
    <xf numFmtId="0" fontId="0" fillId="0" borderId="10" xfId="0" applyBorder="1" applyAlignment="1">
      <alignment horizontal="center"/>
    </xf>
    <xf numFmtId="0" fontId="0" fillId="0" borderId="9" xfId="0" applyBorder="1" applyAlignment="1">
      <alignment horizontal="center"/>
    </xf>
    <xf numFmtId="164" fontId="0" fillId="0" borderId="18" xfId="0" applyNumberFormat="1" applyBorder="1" applyAlignment="1">
      <alignment horizontal="center"/>
    </xf>
    <xf numFmtId="0" fontId="0" fillId="14" borderId="41" xfId="0" applyFill="1" applyBorder="1" applyAlignment="1">
      <alignment vertical="top" wrapText="1"/>
    </xf>
    <xf numFmtId="0" fontId="7" fillId="14" borderId="0" xfId="0" applyFont="1" applyFill="1"/>
    <xf numFmtId="0" fontId="8" fillId="14" borderId="0" xfId="0" applyFont="1" applyFill="1"/>
    <xf numFmtId="0" fontId="1" fillId="0" borderId="2" xfId="0" applyFont="1" applyBorder="1" applyAlignment="1">
      <alignment horizontal="center"/>
    </xf>
    <xf numFmtId="164" fontId="0" fillId="0" borderId="15" xfId="0" applyNumberFormat="1" applyFill="1" applyBorder="1"/>
    <xf numFmtId="164" fontId="0" fillId="0" borderId="6" xfId="0" applyNumberFormat="1" applyFill="1" applyBorder="1"/>
    <xf numFmtId="164" fontId="0" fillId="0" borderId="13" xfId="0" applyNumberFormat="1" applyFill="1" applyBorder="1"/>
    <xf numFmtId="2" fontId="0" fillId="0" borderId="16" xfId="0" applyNumberFormat="1" applyFont="1" applyBorder="1"/>
    <xf numFmtId="0" fontId="7" fillId="0" borderId="0" xfId="0" applyFont="1" applyFill="1"/>
    <xf numFmtId="0" fontId="0" fillId="0" borderId="0" xfId="0" quotePrefix="1" applyFill="1"/>
    <xf numFmtId="0" fontId="16" fillId="0" borderId="0" xfId="0" applyFont="1" applyFill="1"/>
    <xf numFmtId="164" fontId="0" fillId="0" borderId="16" xfId="0" applyNumberFormat="1" applyBorder="1"/>
    <xf numFmtId="2" fontId="0" fillId="0" borderId="18" xfId="0" applyNumberFormat="1" applyBorder="1"/>
    <xf numFmtId="2" fontId="0" fillId="0" borderId="16" xfId="0" applyNumberFormat="1" applyBorder="1"/>
    <xf numFmtId="0" fontId="17" fillId="0" borderId="18" xfId="0" applyFont="1" applyBorder="1" applyAlignment="1">
      <alignment horizontal="center"/>
    </xf>
    <xf numFmtId="0" fontId="17" fillId="0" borderId="2" xfId="0" applyFont="1" applyBorder="1" applyAlignment="1">
      <alignment horizontal="center"/>
    </xf>
    <xf numFmtId="0" fontId="0" fillId="0" borderId="0" xfId="0"/>
    <xf numFmtId="0" fontId="0" fillId="0" borderId="7" xfId="0" applyFill="1" applyBorder="1"/>
    <xf numFmtId="164" fontId="0" fillId="9" borderId="0" xfId="0" applyNumberFormat="1" applyFill="1" applyBorder="1"/>
    <xf numFmtId="0" fontId="0" fillId="9" borderId="7" xfId="0" applyFill="1" applyBorder="1"/>
    <xf numFmtId="0" fontId="0" fillId="9" borderId="0" xfId="0" applyFill="1" applyBorder="1"/>
    <xf numFmtId="0" fontId="0" fillId="0" borderId="0" xfId="0" applyBorder="1"/>
    <xf numFmtId="0" fontId="0" fillId="14" borderId="0" xfId="0" applyFill="1"/>
    <xf numFmtId="164" fontId="0" fillId="9" borderId="0" xfId="0" applyNumberFormat="1" applyFill="1" applyBorder="1" applyAlignment="1">
      <alignment horizontal="center"/>
    </xf>
    <xf numFmtId="164" fontId="0" fillId="0" borderId="7" xfId="0" applyNumberFormat="1" applyFill="1" applyBorder="1"/>
    <xf numFmtId="0" fontId="0" fillId="9" borderId="0" xfId="0" applyFill="1" applyBorder="1" applyAlignment="1">
      <alignment horizontal="center"/>
    </xf>
    <xf numFmtId="164" fontId="0" fillId="0" borderId="0" xfId="0" applyNumberFormat="1" applyFill="1"/>
    <xf numFmtId="0" fontId="1" fillId="0" borderId="0" xfId="0" applyFont="1" applyFill="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cellXfs>
  <cellStyles count="2">
    <cellStyle name="Hyperlink" xfId="1" builtinId="8"/>
    <cellStyle name="Normal" xfId="0" builtinId="0"/>
  </cellStyles>
  <dxfs count="0"/>
  <tableStyles count="0" defaultTableStyle="TableStyleMedium9" defaultPivotStyle="PivotStyleLight16"/>
  <colors>
    <mruColors>
      <color rgb="FF008000"/>
      <color rgb="FF339933"/>
      <color rgb="FF006600"/>
      <color rgb="FF00FF00"/>
      <color rgb="FF003300"/>
      <color rgb="FF33CC33"/>
      <color rgb="FF21FF0C"/>
      <color rgb="FFFF0D0D"/>
      <color rgb="FF051AFF"/>
      <color rgb="FF4A675E"/>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b="1" i="0" baseline="0"/>
              <a:t>U.S. Module Cost Projections</a:t>
            </a:r>
          </a:p>
        </c:rich>
      </c:tx>
      <c:layout>
        <c:manualLayout>
          <c:xMode val="edge"/>
          <c:yMode val="edge"/>
          <c:x val="0.26800449043743468"/>
          <c:y val="5.0411109072555076E-2"/>
        </c:manualLayout>
      </c:layout>
    </c:title>
    <c:plotArea>
      <c:layout>
        <c:manualLayout>
          <c:layoutTarget val="inner"/>
          <c:xMode val="edge"/>
          <c:yMode val="edge"/>
          <c:x val="0.10316187641545772"/>
          <c:y val="9.8446178008401594E-2"/>
          <c:w val="0.66337494286085763"/>
          <c:h val="0.6320970211767617"/>
        </c:manualLayout>
      </c:layout>
      <c:barChart>
        <c:barDir val="col"/>
        <c:grouping val="stacked"/>
        <c:ser>
          <c:idx val="0"/>
          <c:order val="0"/>
          <c:tx>
            <c:strRef>
              <c:f>'Results Summary'!$B$96</c:f>
              <c:strCache>
                <c:ptCount val="1"/>
                <c:pt idx="0">
                  <c:v>Silicon Feedstock</c:v>
                </c:pt>
              </c:strCache>
            </c:strRef>
          </c:tx>
          <c:spPr>
            <a:solidFill>
              <a:srgbClr val="091625"/>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Summary'!$C$96:$H$96</c:f>
              <c:numCache>
                <c:formatCode>0.000</c:formatCode>
                <c:ptCount val="6"/>
                <c:pt idx="0">
                  <c:v>0.22872386206896561</c:v>
                </c:pt>
                <c:pt idx="1">
                  <c:v>6.650727272727272E-2</c:v>
                </c:pt>
                <c:pt idx="5">
                  <c:v>1.4043428184281845E-2</c:v>
                </c:pt>
              </c:numCache>
            </c:numRef>
          </c:val>
        </c:ser>
        <c:ser>
          <c:idx val="1"/>
          <c:order val="1"/>
          <c:tx>
            <c:strRef>
              <c:f>'Results Summary'!$B$97</c:f>
              <c:strCache>
                <c:ptCount val="1"/>
                <c:pt idx="0">
                  <c:v>Depreciation</c:v>
                </c:pt>
              </c:strCache>
            </c:strRef>
          </c:tx>
          <c:spPr>
            <a:solidFill>
              <a:schemeClr val="tx2">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Summary'!$C$97:$H$97</c:f>
              <c:numCache>
                <c:formatCode>0.000</c:formatCode>
                <c:ptCount val="6"/>
                <c:pt idx="0">
                  <c:v>8.9908448674886676E-2</c:v>
                </c:pt>
                <c:pt idx="1">
                  <c:v>8.8189610685513842E-2</c:v>
                </c:pt>
                <c:pt idx="5">
                  <c:v>7.3132847885548052E-2</c:v>
                </c:pt>
              </c:numCache>
            </c:numRef>
          </c:val>
        </c:ser>
        <c:ser>
          <c:idx val="2"/>
          <c:order val="2"/>
          <c:tx>
            <c:strRef>
              <c:f>'Results Summary'!$B$98</c:f>
              <c:strCache>
                <c:ptCount val="1"/>
                <c:pt idx="0">
                  <c:v>Labor</c:v>
                </c:pt>
              </c:strCache>
            </c:strRef>
          </c:tx>
          <c:spPr>
            <a:solidFill>
              <a:schemeClr val="tx2">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Summary'!$C$98:$H$98</c:f>
              <c:numCache>
                <c:formatCode>0.000</c:formatCode>
                <c:ptCount val="6"/>
                <c:pt idx="0">
                  <c:v>6.8569504155818362E-2</c:v>
                </c:pt>
                <c:pt idx="1">
                  <c:v>5.317282582132566E-2</c:v>
                </c:pt>
                <c:pt idx="5">
                  <c:v>3.1846055573205884E-2</c:v>
                </c:pt>
              </c:numCache>
            </c:numRef>
          </c:val>
        </c:ser>
        <c:ser>
          <c:idx val="3"/>
          <c:order val="3"/>
          <c:tx>
            <c:strRef>
              <c:f>'Results Summary'!$B$99</c:f>
              <c:strCache>
                <c:ptCount val="1"/>
                <c:pt idx="0">
                  <c:v>Wire Sawing</c:v>
                </c:pt>
              </c:strCache>
            </c:strRef>
          </c:tx>
          <c:spPr>
            <a:solidFill>
              <a:schemeClr val="tx2">
                <a:lumMod val="20000"/>
                <a:lumOff val="8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Summary'!$C$99:$H$99</c:f>
              <c:numCache>
                <c:formatCode>0.000</c:formatCode>
                <c:ptCount val="6"/>
                <c:pt idx="0">
                  <c:v>6.4116132366093634E-2</c:v>
                </c:pt>
                <c:pt idx="1">
                  <c:v>4.9355278657399575E-2</c:v>
                </c:pt>
                <c:pt idx="5">
                  <c:v>0</c:v>
                </c:pt>
              </c:numCache>
            </c:numRef>
          </c:val>
        </c:ser>
        <c:ser>
          <c:idx val="29"/>
          <c:order val="4"/>
          <c:tx>
            <c:strRef>
              <c:f>'Results Summary'!$B$100</c:f>
              <c:strCache>
                <c:ptCount val="1"/>
                <c:pt idx="0">
                  <c:v>Ingot Casting</c:v>
                </c:pt>
              </c:strCache>
            </c:strRef>
          </c:tx>
          <c:spPr>
            <a:solidFill>
              <a:schemeClr val="tx2">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Summary'!$C$100:$H$100</c:f>
              <c:numCache>
                <c:formatCode>0.000</c:formatCode>
                <c:ptCount val="6"/>
                <c:pt idx="0">
                  <c:v>2.944108118851238E-2</c:v>
                </c:pt>
                <c:pt idx="1">
                  <c:v>2.2663138159010006E-2</c:v>
                </c:pt>
                <c:pt idx="5">
                  <c:v>0</c:v>
                </c:pt>
              </c:numCache>
            </c:numRef>
          </c:val>
        </c:ser>
        <c:ser>
          <c:idx val="30"/>
          <c:order val="5"/>
          <c:tx>
            <c:strRef>
              <c:f>'Results Summary'!$B$101</c:f>
              <c:strCache>
                <c:ptCount val="1"/>
                <c:pt idx="0">
                  <c:v>Maintenance</c:v>
                </c:pt>
              </c:strCache>
            </c:strRef>
          </c:tx>
          <c:spPr>
            <a:solidFill>
              <a:schemeClr val="tx2">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Summary'!$C$101:$H$101</c:f>
              <c:numCache>
                <c:formatCode>0.000</c:formatCode>
                <c:ptCount val="6"/>
                <c:pt idx="0">
                  <c:v>2.6612283970982815E-2</c:v>
                </c:pt>
                <c:pt idx="1">
                  <c:v>2.3558426546033229E-2</c:v>
                </c:pt>
                <c:pt idx="5">
                  <c:v>1.7892002276664092E-2</c:v>
                </c:pt>
              </c:numCache>
            </c:numRef>
          </c:val>
        </c:ser>
        <c:ser>
          <c:idx val="31"/>
          <c:order val="6"/>
          <c:tx>
            <c:strRef>
              <c:f>'Results Summary'!$B$102</c:f>
              <c:strCache>
                <c:ptCount val="1"/>
                <c:pt idx="0">
                  <c:v>Yield Loss</c:v>
                </c:pt>
              </c:strCache>
            </c:strRef>
          </c:tx>
          <c:spPr>
            <a:solidFill>
              <a:schemeClr val="tx2">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Summary'!$C$102:$H$102</c:f>
              <c:numCache>
                <c:formatCode>0.000</c:formatCode>
                <c:ptCount val="6"/>
                <c:pt idx="0">
                  <c:v>2.7977377569732953E-2</c:v>
                </c:pt>
                <c:pt idx="1">
                  <c:v>1.7049807377437609E-2</c:v>
                </c:pt>
                <c:pt idx="5">
                  <c:v>4.3411204502882272E-3</c:v>
                </c:pt>
              </c:numCache>
            </c:numRef>
          </c:val>
        </c:ser>
        <c:ser>
          <c:idx val="32"/>
          <c:order val="7"/>
          <c:tx>
            <c:strRef>
              <c:f>'Results Summary'!$B$103</c:f>
              <c:strCache>
                <c:ptCount val="1"/>
                <c:pt idx="0">
                  <c:v>Input Electricity</c:v>
                </c:pt>
              </c:strCache>
            </c:strRef>
          </c:tx>
          <c:spPr>
            <a:solidFill>
              <a:schemeClr val="tx2">
                <a:lumMod val="5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Summary'!$C$103:$H$103</c:f>
              <c:numCache>
                <c:formatCode>0.000</c:formatCode>
                <c:ptCount val="6"/>
                <c:pt idx="0">
                  <c:v>2.4198861399667065E-2</c:v>
                </c:pt>
                <c:pt idx="1">
                  <c:v>2.0499787574759357E-2</c:v>
                </c:pt>
                <c:pt idx="5">
                  <c:v>3.4485606396192753E-3</c:v>
                </c:pt>
              </c:numCache>
            </c:numRef>
          </c:val>
        </c:ser>
        <c:ser>
          <c:idx val="28"/>
          <c:order val="8"/>
          <c:spPr>
            <a:noFill/>
          </c:spPr>
          <c:cat>
            <c:strRef>
              <c:f>'Results Summary'!$C$95:$H$95</c:f>
              <c:strCache>
                <c:ptCount val="6"/>
                <c:pt idx="0">
                  <c:v>2012</c:v>
                </c:pt>
                <c:pt idx="1">
                  <c:v>2020 LOS</c:v>
                </c:pt>
                <c:pt idx="2">
                  <c:v>Efficiency</c:v>
                </c:pt>
                <c:pt idx="3">
                  <c:v>Wafer</c:v>
                </c:pt>
                <c:pt idx="4">
                  <c:v>Mfg. and Module</c:v>
                </c:pt>
                <c:pt idx="5">
                  <c:v>2020 Adv. Concept</c:v>
                </c:pt>
              </c:strCache>
            </c:strRef>
          </c:cat>
          <c:val>
            <c:numLit>
              <c:formatCode>General</c:formatCode>
              <c:ptCount val="1"/>
              <c:pt idx="0">
                <c:v>0</c:v>
              </c:pt>
            </c:numLit>
          </c:val>
        </c:ser>
        <c:ser>
          <c:idx val="6"/>
          <c:order val="9"/>
          <c:tx>
            <c:strRef>
              <c:f>'Results Summary'!$B$104</c:f>
              <c:strCache>
                <c:ptCount val="1"/>
                <c:pt idx="0">
                  <c:v>Metal Paste</c:v>
                </c:pt>
              </c:strCache>
            </c:strRef>
          </c:tx>
          <c:spPr>
            <a:solidFill>
              <a:srgbClr val="471A19"/>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Summary'!$C$104:$H$104</c:f>
              <c:numCache>
                <c:formatCode>0.000</c:formatCode>
                <c:ptCount val="6"/>
                <c:pt idx="0">
                  <c:v>0.11081283865387735</c:v>
                </c:pt>
                <c:pt idx="1">
                  <c:v>4.6789795799976795E-2</c:v>
                </c:pt>
                <c:pt idx="5">
                  <c:v>5.3519026314523502E-2</c:v>
                </c:pt>
              </c:numCache>
            </c:numRef>
          </c:val>
        </c:ser>
        <c:ser>
          <c:idx val="7"/>
          <c:order val="10"/>
          <c:tx>
            <c:strRef>
              <c:f>'Results Summary'!$B$105</c:f>
              <c:strCache>
                <c:ptCount val="1"/>
                <c:pt idx="0">
                  <c:v>Depreciation</c:v>
                </c:pt>
              </c:strCache>
            </c:strRef>
          </c:tx>
          <c:spPr>
            <a:solidFill>
              <a:schemeClr val="accent2">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Summary'!$C$105:$H$105</c:f>
              <c:numCache>
                <c:formatCode>0.000</c:formatCode>
                <c:ptCount val="6"/>
                <c:pt idx="0">
                  <c:v>6.2539231151438265E-2</c:v>
                </c:pt>
                <c:pt idx="1">
                  <c:v>6.1343628202954879E-2</c:v>
                </c:pt>
                <c:pt idx="5">
                  <c:v>5.0870325826840632E-2</c:v>
                </c:pt>
              </c:numCache>
            </c:numRef>
          </c:val>
        </c:ser>
        <c:ser>
          <c:idx val="8"/>
          <c:order val="11"/>
          <c:tx>
            <c:strRef>
              <c:f>'Results Summary'!$B$106</c:f>
              <c:strCache>
                <c:ptCount val="1"/>
                <c:pt idx="0">
                  <c:v>Chemicals</c:v>
                </c:pt>
              </c:strCache>
            </c:strRef>
          </c:tx>
          <c:spPr>
            <a:solidFill>
              <a:schemeClr val="accent2">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Summary'!$C$106:$H$106</c:f>
              <c:numCache>
                <c:formatCode>0.000</c:formatCode>
                <c:ptCount val="6"/>
                <c:pt idx="0">
                  <c:v>4.5398898184044079E-2</c:v>
                </c:pt>
                <c:pt idx="1">
                  <c:v>3.8722589627567E-2</c:v>
                </c:pt>
                <c:pt idx="5">
                  <c:v>1.6697936210131333E-2</c:v>
                </c:pt>
              </c:numCache>
            </c:numRef>
          </c:val>
        </c:ser>
        <c:ser>
          <c:idx val="9"/>
          <c:order val="12"/>
          <c:tx>
            <c:strRef>
              <c:f>'Results Summary'!$B$107</c:f>
              <c:strCache>
                <c:ptCount val="1"/>
                <c:pt idx="0">
                  <c:v>Labor</c:v>
                </c:pt>
              </c:strCache>
            </c:strRef>
          </c:tx>
          <c:spPr>
            <a:solidFill>
              <a:schemeClr val="accent2">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Summary'!$C$107:$H$107</c:f>
              <c:numCache>
                <c:formatCode>0.000</c:formatCode>
                <c:ptCount val="6"/>
                <c:pt idx="0">
                  <c:v>3.3612502037165863E-2</c:v>
                </c:pt>
                <c:pt idx="1">
                  <c:v>2.0141221902017295E-2</c:v>
                </c:pt>
                <c:pt idx="5">
                  <c:v>1.3361981359387085E-2</c:v>
                </c:pt>
              </c:numCache>
            </c:numRef>
          </c:val>
        </c:ser>
        <c:ser>
          <c:idx val="10"/>
          <c:order val="13"/>
          <c:tx>
            <c:strRef>
              <c:f>'Results Summary'!$B$108</c:f>
              <c:strCache>
                <c:ptCount val="1"/>
                <c:pt idx="0">
                  <c:v>Yield Loss</c:v>
                </c:pt>
              </c:strCache>
            </c:strRef>
          </c:tx>
          <c:spPr>
            <a:solidFill>
              <a:schemeClr val="accent2">
                <a:lumMod val="20000"/>
                <a:lumOff val="8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Summary'!$C$108:$H$108</c:f>
              <c:numCache>
                <c:formatCode>0.000</c:formatCode>
                <c:ptCount val="6"/>
                <c:pt idx="0">
                  <c:v>3.0398837271895074E-2</c:v>
                </c:pt>
                <c:pt idx="1">
                  <c:v>1.9675052520806036E-2</c:v>
                </c:pt>
                <c:pt idx="5">
                  <c:v>1.1225050006718307E-2</c:v>
                </c:pt>
              </c:numCache>
            </c:numRef>
          </c:val>
        </c:ser>
        <c:ser>
          <c:idx val="11"/>
          <c:order val="14"/>
          <c:tx>
            <c:strRef>
              <c:f>'Results Summary'!$B$109</c:f>
              <c:strCache>
                <c:ptCount val="1"/>
                <c:pt idx="0">
                  <c:v>Input Electricity</c:v>
                </c:pt>
              </c:strCache>
            </c:strRef>
          </c:tx>
          <c:spPr>
            <a:solidFill>
              <a:schemeClr val="accent2">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Summary'!$C$109:$H$109</c:f>
              <c:numCache>
                <c:formatCode>0.000</c:formatCode>
                <c:ptCount val="6"/>
                <c:pt idx="0">
                  <c:v>2.3635862068965521E-2</c:v>
                </c:pt>
                <c:pt idx="1">
                  <c:v>2.5920000000000002E-2</c:v>
                </c:pt>
                <c:pt idx="5">
                  <c:v>2.1494634146341469E-2</c:v>
                </c:pt>
              </c:numCache>
            </c:numRef>
          </c:val>
        </c:ser>
        <c:ser>
          <c:idx val="12"/>
          <c:order val="15"/>
          <c:tx>
            <c:strRef>
              <c:f>'Results Summary'!$B$110</c:f>
              <c:strCache>
                <c:ptCount val="1"/>
                <c:pt idx="0">
                  <c:v>Maintenance</c:v>
                </c:pt>
              </c:strCache>
            </c:strRef>
          </c:tx>
          <c:spPr>
            <a:solidFill>
              <a:schemeClr val="accent2">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Summary'!$C$110:$H$110</c:f>
              <c:numCache>
                <c:formatCode>0.000</c:formatCode>
                <c:ptCount val="6"/>
                <c:pt idx="0">
                  <c:v>1.7959059524992552E-2</c:v>
                </c:pt>
                <c:pt idx="1">
                  <c:v>1.589819141854552E-2</c:v>
                </c:pt>
                <c:pt idx="5">
                  <c:v>1.3183866054403602E-2</c:v>
                </c:pt>
              </c:numCache>
            </c:numRef>
          </c:val>
        </c:ser>
        <c:ser>
          <c:idx val="4"/>
          <c:order val="16"/>
          <c:tx>
            <c:strRef>
              <c:f>'Results Summary'!$B$111</c:f>
              <c:strCache>
                <c:ptCount val="1"/>
                <c:pt idx="0">
                  <c:v>Screens</c:v>
                </c:pt>
              </c:strCache>
            </c:strRef>
          </c:tx>
          <c:spPr>
            <a:solidFill>
              <a:schemeClr val="accent2">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Summary'!$C$111:$H$111</c:f>
              <c:numCache>
                <c:formatCode>0.000</c:formatCode>
                <c:ptCount val="6"/>
                <c:pt idx="0">
                  <c:v>1.2610805051123355E-2</c:v>
                </c:pt>
                <c:pt idx="1">
                  <c:v>9.7075380941331162E-3</c:v>
                </c:pt>
                <c:pt idx="5">
                  <c:v>0</c:v>
                </c:pt>
              </c:numCache>
            </c:numRef>
          </c:val>
        </c:ser>
        <c:ser>
          <c:idx val="27"/>
          <c:order val="17"/>
          <c:spPr>
            <a:noFill/>
          </c:spPr>
          <c:cat>
            <c:strRef>
              <c:f>'Results Summary'!$C$95:$H$95</c:f>
              <c:strCache>
                <c:ptCount val="6"/>
                <c:pt idx="0">
                  <c:v>2012</c:v>
                </c:pt>
                <c:pt idx="1">
                  <c:v>2020 LOS</c:v>
                </c:pt>
                <c:pt idx="2">
                  <c:v>Efficiency</c:v>
                </c:pt>
                <c:pt idx="3">
                  <c:v>Wafer</c:v>
                </c:pt>
                <c:pt idx="4">
                  <c:v>Mfg. and Module</c:v>
                </c:pt>
                <c:pt idx="5">
                  <c:v>2020 Adv. Concept</c:v>
                </c:pt>
              </c:strCache>
            </c:strRef>
          </c:cat>
          <c:val>
            <c:numLit>
              <c:formatCode>General</c:formatCode>
              <c:ptCount val="1"/>
              <c:pt idx="0">
                <c:v>0</c:v>
              </c:pt>
            </c:numLit>
          </c:val>
        </c:ser>
        <c:ser>
          <c:idx val="13"/>
          <c:order val="18"/>
          <c:tx>
            <c:strRef>
              <c:f>'Results Summary'!$B$112</c:f>
              <c:strCache>
                <c:ptCount val="1"/>
                <c:pt idx="0">
                  <c:v>Glass</c:v>
                </c:pt>
              </c:strCache>
            </c:strRef>
          </c:tx>
          <c:spPr>
            <a:solidFill>
              <a:srgbClr val="392B49"/>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Summary'!$C$112:$H$112</c:f>
              <c:numCache>
                <c:formatCode>0.000</c:formatCode>
                <c:ptCount val="6"/>
                <c:pt idx="0">
                  <c:v>7.3275862068965525E-2</c:v>
                </c:pt>
                <c:pt idx="1">
                  <c:v>5.6406249999999984E-2</c:v>
                </c:pt>
                <c:pt idx="5">
                  <c:v>4.6775914634146334E-2</c:v>
                </c:pt>
              </c:numCache>
            </c:numRef>
          </c:val>
        </c:ser>
        <c:ser>
          <c:idx val="14"/>
          <c:order val="19"/>
          <c:tx>
            <c:strRef>
              <c:f>'Results Summary'!$B$113</c:f>
              <c:strCache>
                <c:ptCount val="1"/>
                <c:pt idx="0">
                  <c:v>Frame</c:v>
                </c:pt>
              </c:strCache>
            </c:strRef>
          </c:tx>
          <c:spPr>
            <a:solidFill>
              <a:schemeClr val="accent4">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Summary'!$C$113:$H$113</c:f>
              <c:numCache>
                <c:formatCode>0.000</c:formatCode>
                <c:ptCount val="6"/>
                <c:pt idx="0">
                  <c:v>5.9997421887852433E-2</c:v>
                </c:pt>
                <c:pt idx="1">
                  <c:v>4.6184780128229921E-2</c:v>
                </c:pt>
                <c:pt idx="5">
                  <c:v>0</c:v>
                </c:pt>
              </c:numCache>
            </c:numRef>
          </c:val>
        </c:ser>
        <c:ser>
          <c:idx val="15"/>
          <c:order val="20"/>
          <c:tx>
            <c:strRef>
              <c:f>'Results Summary'!$B$114</c:f>
              <c:strCache>
                <c:ptCount val="1"/>
                <c:pt idx="0">
                  <c:v>Back Sheet</c:v>
                </c:pt>
              </c:strCache>
            </c:strRef>
          </c:tx>
          <c:spPr>
            <a:solidFill>
              <a:schemeClr val="accent4">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Summary'!$C$114:$H$114</c:f>
              <c:numCache>
                <c:formatCode>0.000</c:formatCode>
                <c:ptCount val="6"/>
                <c:pt idx="0">
                  <c:v>4.9568965517241388E-2</c:v>
                </c:pt>
                <c:pt idx="1">
                  <c:v>3.8157169117647056E-2</c:v>
                </c:pt>
                <c:pt idx="5">
                  <c:v>3.1642530487804882E-2</c:v>
                </c:pt>
              </c:numCache>
            </c:numRef>
          </c:val>
        </c:ser>
        <c:ser>
          <c:idx val="16"/>
          <c:order val="21"/>
          <c:tx>
            <c:strRef>
              <c:f>'Results Summary'!$B$115</c:f>
              <c:strCache>
                <c:ptCount val="1"/>
                <c:pt idx="0">
                  <c:v>JB and Cable</c:v>
                </c:pt>
              </c:strCache>
            </c:strRef>
          </c:tx>
          <c:spPr>
            <a:solidFill>
              <a:schemeClr val="accent4">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Summary'!$C$115:$H$115</c:f>
              <c:numCache>
                <c:formatCode>0.000</c:formatCode>
                <c:ptCount val="6"/>
                <c:pt idx="0">
                  <c:v>0.04</c:v>
                </c:pt>
                <c:pt idx="1">
                  <c:v>3.61E-2</c:v>
                </c:pt>
                <c:pt idx="5">
                  <c:v>3.61E-2</c:v>
                </c:pt>
              </c:numCache>
            </c:numRef>
          </c:val>
        </c:ser>
        <c:ser>
          <c:idx val="17"/>
          <c:order val="22"/>
          <c:tx>
            <c:strRef>
              <c:f>'Results Summary'!$B$116</c:f>
              <c:strCache>
                <c:ptCount val="1"/>
                <c:pt idx="0">
                  <c:v>Encapsulant</c:v>
                </c:pt>
              </c:strCache>
            </c:strRef>
          </c:tx>
          <c:spPr>
            <a:solidFill>
              <a:schemeClr val="accent4">
                <a:lumMod val="20000"/>
                <a:lumOff val="8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Summary'!$C$116:$H$116</c:f>
              <c:numCache>
                <c:formatCode>0.000</c:formatCode>
                <c:ptCount val="6"/>
                <c:pt idx="0">
                  <c:v>3.8793103448275863E-2</c:v>
                </c:pt>
                <c:pt idx="1">
                  <c:v>2.9862132352941169E-2</c:v>
                </c:pt>
                <c:pt idx="5">
                  <c:v>2.476371951219512E-2</c:v>
                </c:pt>
              </c:numCache>
            </c:numRef>
          </c:val>
        </c:ser>
        <c:ser>
          <c:idx val="18"/>
          <c:order val="23"/>
          <c:tx>
            <c:strRef>
              <c:f>'Results Summary'!$B$117</c:f>
              <c:strCache>
                <c:ptCount val="1"/>
                <c:pt idx="0">
                  <c:v>Labor</c:v>
                </c:pt>
              </c:strCache>
            </c:strRef>
          </c:tx>
          <c:spPr>
            <a:solidFill>
              <a:schemeClr val="accent4">
                <a:lumMod val="40000"/>
                <a:lumOff val="6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Summary'!$C$117:$H$117</c:f>
              <c:numCache>
                <c:formatCode>0.000</c:formatCode>
                <c:ptCount val="6"/>
                <c:pt idx="0">
                  <c:v>3.3612502037165863E-2</c:v>
                </c:pt>
                <c:pt idx="1">
                  <c:v>2.0141221902017295E-2</c:v>
                </c:pt>
                <c:pt idx="5">
                  <c:v>1.3361981359387085E-2</c:v>
                </c:pt>
              </c:numCache>
            </c:numRef>
          </c:val>
        </c:ser>
        <c:ser>
          <c:idx val="19"/>
          <c:order val="24"/>
          <c:tx>
            <c:strRef>
              <c:f>'Results Summary'!$B$118</c:f>
              <c:strCache>
                <c:ptCount val="1"/>
                <c:pt idx="0">
                  <c:v>Ribbon</c:v>
                </c:pt>
              </c:strCache>
            </c:strRef>
          </c:tx>
          <c:spPr>
            <a:solidFill>
              <a:schemeClr val="accent4">
                <a:lumMod val="60000"/>
                <a:lumOff val="40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Summary'!$C$118:$H$118</c:f>
              <c:numCache>
                <c:formatCode>0.000</c:formatCode>
                <c:ptCount val="6"/>
                <c:pt idx="0">
                  <c:v>3.2327586206896554E-2</c:v>
                </c:pt>
                <c:pt idx="1">
                  <c:v>2.4885110294117645E-2</c:v>
                </c:pt>
                <c:pt idx="5">
                  <c:v>0</c:v>
                </c:pt>
              </c:numCache>
            </c:numRef>
          </c:val>
        </c:ser>
        <c:ser>
          <c:idx val="20"/>
          <c:order val="25"/>
          <c:tx>
            <c:strRef>
              <c:f>'Results Summary'!$B$119</c:f>
              <c:strCache>
                <c:ptCount val="1"/>
                <c:pt idx="0">
                  <c:v>Depreciation</c:v>
                </c:pt>
              </c:strCache>
            </c:strRef>
          </c:tx>
          <c:spPr>
            <a:solidFill>
              <a:schemeClr val="accent4">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Summary'!$C$119:$H$119</c:f>
              <c:numCache>
                <c:formatCode>0.000</c:formatCode>
                <c:ptCount val="6"/>
                <c:pt idx="0">
                  <c:v>2.8367725911373737E-2</c:v>
                </c:pt>
                <c:pt idx="1">
                  <c:v>2.7825401739538649E-2</c:v>
                </c:pt>
                <c:pt idx="5">
                  <c:v>2.307472339376376E-2</c:v>
                </c:pt>
              </c:numCache>
            </c:numRef>
          </c:val>
        </c:ser>
        <c:ser>
          <c:idx val="21"/>
          <c:order val="26"/>
          <c:tx>
            <c:strRef>
              <c:f>'Results Summary'!$B$120</c:f>
              <c:strCache>
                <c:ptCount val="1"/>
                <c:pt idx="0">
                  <c:v>Yield Loss</c:v>
                </c:pt>
              </c:strCache>
            </c:strRef>
          </c:tx>
          <c:spPr>
            <a:solidFill>
              <a:srgbClr val="392B49"/>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Summary'!$C$120:$H$120</c:f>
              <c:numCache>
                <c:formatCode>0.000</c:formatCode>
                <c:ptCount val="6"/>
                <c:pt idx="0">
                  <c:v>2.4686836894118658E-2</c:v>
                </c:pt>
                <c:pt idx="1">
                  <c:v>1.7065168730143299E-2</c:v>
                </c:pt>
                <c:pt idx="5">
                  <c:v>1.0141909102574787E-2</c:v>
                </c:pt>
              </c:numCache>
            </c:numRef>
          </c:val>
        </c:ser>
        <c:ser>
          <c:idx val="22"/>
          <c:order val="27"/>
          <c:tx>
            <c:strRef>
              <c:f>'Results Summary'!$B$121</c:f>
              <c:strCache>
                <c:ptCount val="1"/>
                <c:pt idx="0">
                  <c:v>Maintenance</c:v>
                </c:pt>
              </c:strCache>
            </c:strRef>
          </c:tx>
          <c:spPr>
            <a:solidFill>
              <a:schemeClr val="accent4">
                <a:lumMod val="75000"/>
              </a:schemeClr>
            </a:solid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Summary'!$C$121:$H$121</c:f>
              <c:numCache>
                <c:formatCode>0.000</c:formatCode>
                <c:ptCount val="6"/>
                <c:pt idx="0">
                  <c:v>8.9931598926761419E-3</c:v>
                </c:pt>
                <c:pt idx="1">
                  <c:v>7.9611617319037108E-3</c:v>
                </c:pt>
                <c:pt idx="5">
                  <c:v>6.6019389971884437E-3</c:v>
                </c:pt>
              </c:numCache>
            </c:numRef>
          </c:val>
        </c:ser>
        <c:ser>
          <c:idx val="23"/>
          <c:order val="28"/>
          <c:tx>
            <c:strRef>
              <c:f>'Results Summary'!$B$122</c:f>
              <c:strCache>
                <c:ptCount val="1"/>
                <c:pt idx="0">
                  <c:v>Input Electricity</c:v>
                </c:pt>
              </c:strCache>
            </c:strRef>
          </c:tx>
          <c:spPr>
            <a:solidFill>
              <a:schemeClr val="accent4">
                <a:lumMod val="60000"/>
                <a:lumOff val="40000"/>
              </a:schemeClr>
            </a:solidFill>
          </c:spPr>
          <c:dLbls>
            <c:dLbl>
              <c:idx val="0"/>
              <c:layout>
                <c:manualLayout>
                  <c:x val="-9.8546825142303645E-4"/>
                  <c:y val="-4.6883593544740435E-2"/>
                </c:manualLayout>
              </c:layout>
              <c:tx>
                <c:strRef>
                  <c:f>'Results Summary'!$C$130</c:f>
                  <c:strCache>
                    <c:ptCount val="1"/>
                    <c:pt idx="0">
                      <c:v>1.29</c:v>
                    </c:pt>
                  </c:strCache>
                </c:strRef>
              </c:tx>
              <c:dLblPos val="ctr"/>
              <c:showVal val="1"/>
            </c:dLbl>
            <c:dLbl>
              <c:idx val="1"/>
              <c:layout>
                <c:manualLayout>
                  <c:x val="-1.5196053545580741E-3"/>
                  <c:y val="-5.6674601721296472E-2"/>
                </c:manualLayout>
              </c:layout>
              <c:tx>
                <c:strRef>
                  <c:f>'Results Summary'!$D$130</c:f>
                  <c:strCache>
                    <c:ptCount val="1"/>
                    <c:pt idx="0">
                      <c:v>0.89</c:v>
                    </c:pt>
                  </c:strCache>
                </c:strRef>
              </c:tx>
              <c:dLblPos val="ctr"/>
              <c:showVal val="1"/>
            </c:dLbl>
            <c:dLbl>
              <c:idx val="2"/>
              <c:layout>
                <c:manualLayout>
                  <c:x val="7.2158751106621679E-4"/>
                  <c:y val="-5.9519676811563213E-2"/>
                </c:manualLayout>
              </c:layout>
              <c:tx>
                <c:strRef>
                  <c:f>'Bottoms Up Summary'!#REF!</c:f>
                  <c:strCache>
                    <c:ptCount val="1"/>
                    <c:pt idx="0">
                      <c:v>#REF!</c:v>
                    </c:pt>
                  </c:strCache>
                </c:strRef>
              </c:tx>
              <c:dLblPos val="ctr"/>
              <c:showVal val="1"/>
            </c:dLbl>
            <c:dLbl>
              <c:idx val="3"/>
              <c:layout>
                <c:manualLayout>
                  <c:x val="7.4708257302037826E-4"/>
                  <c:y val="-4.9426578234223924E-2"/>
                </c:manualLayout>
              </c:layout>
              <c:tx>
                <c:strRef>
                  <c:f>'Bottoms Up Summary'!#REF!</c:f>
                  <c:strCache>
                    <c:ptCount val="1"/>
                    <c:pt idx="0">
                      <c:v>#REF!</c:v>
                    </c:pt>
                  </c:strCache>
                </c:strRef>
              </c:tx>
              <c:dLblPos val="ctr"/>
              <c:showVal val="1"/>
            </c:dLbl>
            <c:dLbl>
              <c:idx val="4"/>
              <c:layout>
                <c:manualLayout>
                  <c:x val="8.5092794362274268E-4"/>
                  <c:y val="-5.0942919252508434E-2"/>
                </c:manualLayout>
              </c:layout>
              <c:tx>
                <c:strRef>
                  <c:f>'Bottoms Up Summary'!#REF!</c:f>
                  <c:strCache>
                    <c:ptCount val="1"/>
                    <c:pt idx="0">
                      <c:v>#REF!</c:v>
                    </c:pt>
                  </c:strCache>
                </c:strRef>
              </c:tx>
              <c:dLblPos val="ctr"/>
              <c:showVal val="1"/>
            </c:dLbl>
            <c:dLbl>
              <c:idx val="5"/>
              <c:layout>
                <c:manualLayout>
                  <c:x val="-1.9623809438362558E-3"/>
                  <c:y val="-4.5195029458483034E-2"/>
                </c:manualLayout>
              </c:layout>
              <c:tx>
                <c:strRef>
                  <c:f>'Results Summary'!$H$130</c:f>
                  <c:strCache>
                    <c:ptCount val="1"/>
                    <c:pt idx="0">
                      <c:v>0.52</c:v>
                    </c:pt>
                  </c:strCache>
                </c:strRef>
              </c:tx>
              <c:dLblPos val="ctr"/>
              <c:showVal val="1"/>
            </c:dLbl>
            <c:dLbl>
              <c:idx val="6"/>
              <c:layout>
                <c:manualLayout>
                  <c:x val="6.2684881706663535E-6"/>
                  <c:y val="-4.1439535679880256E-2"/>
                </c:manualLayout>
              </c:layout>
              <c:tx>
                <c:strRef>
                  <c:f>'Results Summary'!$D$89</c:f>
                  <c:strCache>
                    <c:ptCount val="1"/>
                    <c:pt idx="0">
                      <c:v>0.52</c:v>
                    </c:pt>
                  </c:strCache>
                </c:strRef>
              </c:tx>
              <c:dLblPos val="ctr"/>
              <c:showVal val="1"/>
            </c:dLbl>
            <c:spPr>
              <a:solidFill>
                <a:schemeClr val="bg1"/>
              </a:solidFill>
            </c:spPr>
            <c:txPr>
              <a:bodyPr/>
              <a:lstStyle/>
              <a:p>
                <a:pPr>
                  <a:defRPr sz="2200"/>
                </a:pPr>
                <a:endParaRPr lang="en-US"/>
              </a:p>
            </c:txPr>
            <c:dLblPos val="ctr"/>
            <c:showVal val="1"/>
          </c:dLbls>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Summary'!$C$122:$H$122</c:f>
              <c:numCache>
                <c:formatCode>0.000</c:formatCode>
                <c:ptCount val="6"/>
                <c:pt idx="0">
                  <c:v>3.4758620689655179E-3</c:v>
                </c:pt>
                <c:pt idx="1">
                  <c:v>3.8117647058823526E-3</c:v>
                </c:pt>
                <c:pt idx="5">
                  <c:v>3.1609756097560975E-3</c:v>
                </c:pt>
              </c:numCache>
            </c:numRef>
          </c:val>
        </c:ser>
        <c:ser>
          <c:idx val="5"/>
          <c:order val="29"/>
          <c:tx>
            <c:strRef>
              <c:f>'Results Summary'!$B$123</c:f>
              <c:strCache>
                <c:ptCount val="1"/>
                <c:pt idx="0">
                  <c:v>Packaging</c:v>
                </c:pt>
              </c:strCache>
            </c:strRef>
          </c:tx>
          <c:spPr>
            <a:solidFill>
              <a:schemeClr val="accent4">
                <a:lumMod val="40000"/>
                <a:lumOff val="60000"/>
              </a:schemeClr>
            </a:solidFill>
          </c:spPr>
          <c:errBars>
            <c:errBarType val="both"/>
            <c:errValType val="cust"/>
            <c:plus>
              <c:numRef>
                <c:f>'Results Summary'!$AF$109:$AF$114</c:f>
                <c:numCache>
                  <c:formatCode>General</c:formatCode>
                  <c:ptCount val="6"/>
                  <c:pt idx="0">
                    <c:v>6.4635902977377757E-2</c:v>
                  </c:pt>
                  <c:pt idx="1">
                    <c:v>8.8998329640540927E-2</c:v>
                  </c:pt>
                  <c:pt idx="5">
                    <c:v>5.2266162558574553E-2</c:v>
                  </c:pt>
                </c:numCache>
              </c:numRef>
            </c:plus>
            <c:minus>
              <c:numRef>
                <c:f>'Results Summary'!$AG$109:$AG$114</c:f>
                <c:numCache>
                  <c:formatCode>General</c:formatCode>
                  <c:ptCount val="6"/>
                  <c:pt idx="0">
                    <c:v>6.4635902977377757E-2</c:v>
                  </c:pt>
                  <c:pt idx="1">
                    <c:v>8.8998329640540927E-2</c:v>
                  </c:pt>
                  <c:pt idx="5">
                    <c:v>5.2266162558574553E-2</c:v>
                  </c:pt>
                </c:numCache>
              </c:numRef>
            </c:minus>
            <c:spPr>
              <a:ln w="25400"/>
            </c:spPr>
          </c:errBars>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Summary'!$C$123:$H$123</c:f>
              <c:numCache>
                <c:formatCode>0.000</c:formatCode>
                <c:ptCount val="6"/>
                <c:pt idx="0">
                  <c:v>3.1034482758620693E-3</c:v>
                </c:pt>
                <c:pt idx="1">
                  <c:v>2.3889705882352941E-3</c:v>
                </c:pt>
                <c:pt idx="5">
                  <c:v>1.98109756097561E-3</c:v>
                </c:pt>
              </c:numCache>
            </c:numRef>
          </c:val>
        </c:ser>
        <c:ser>
          <c:idx val="26"/>
          <c:order val="30"/>
          <c:spPr>
            <a:noFill/>
          </c:spPr>
          <c:cat>
            <c:strRef>
              <c:f>'Results Summary'!$C$95:$H$95</c:f>
              <c:strCache>
                <c:ptCount val="6"/>
                <c:pt idx="0">
                  <c:v>2012</c:v>
                </c:pt>
                <c:pt idx="1">
                  <c:v>2020 LOS</c:v>
                </c:pt>
                <c:pt idx="2">
                  <c:v>Efficiency</c:v>
                </c:pt>
                <c:pt idx="3">
                  <c:v>Wafer</c:v>
                </c:pt>
                <c:pt idx="4">
                  <c:v>Mfg. and Module</c:v>
                </c:pt>
                <c:pt idx="5">
                  <c:v>2020 Adv. Concept</c:v>
                </c:pt>
              </c:strCache>
            </c:strRef>
          </c:cat>
          <c:val>
            <c:numLit>
              <c:formatCode>General</c:formatCode>
              <c:ptCount val="1"/>
              <c:pt idx="0">
                <c:v>0</c:v>
              </c:pt>
            </c:numLit>
          </c:val>
        </c:ser>
        <c:ser>
          <c:idx val="35"/>
          <c:order val="31"/>
          <c:tx>
            <c:strRef>
              <c:f>'Results Summary'!$B$128</c:f>
              <c:strCache>
                <c:ptCount val="1"/>
                <c:pt idx="0">
                  <c:v>Bottom</c:v>
                </c:pt>
              </c:strCache>
            </c:strRef>
          </c:tx>
          <c:spPr>
            <a:noFill/>
          </c:spPr>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Summary'!$C$128:$H$128</c:f>
              <c:numCache>
                <c:formatCode>General</c:formatCode>
                <c:ptCount val="6"/>
                <c:pt idx="2" formatCode="0.000">
                  <c:v>0.74349914087013202</c:v>
                </c:pt>
                <c:pt idx="3" formatCode="0.000">
                  <c:v>0.61230201721679012</c:v>
                </c:pt>
                <c:pt idx="4" formatCode="0.000">
                  <c:v>0.52266162558574547</c:v>
                </c:pt>
              </c:numCache>
            </c:numRef>
          </c:val>
        </c:ser>
        <c:ser>
          <c:idx val="34"/>
          <c:order val="32"/>
          <c:tx>
            <c:strRef>
              <c:f>'Results Summary'!$B$127</c:f>
              <c:strCache>
                <c:ptCount val="1"/>
                <c:pt idx="0">
                  <c:v>Delta</c:v>
                </c:pt>
              </c:strCache>
            </c:strRef>
          </c:tx>
          <c:spPr>
            <a:solidFill>
              <a:srgbClr val="92D050"/>
            </a:solidFill>
          </c:spPr>
          <c:dLbls>
            <c:dLbl>
              <c:idx val="2"/>
              <c:layout>
                <c:manualLayout>
                  <c:x val="0"/>
                  <c:y val="-4.7278774837830134E-2"/>
                </c:manualLayout>
              </c:layout>
              <c:tx>
                <c:strRef>
                  <c:f>'Results Summary'!$E$129</c:f>
                  <c:strCache>
                    <c:ptCount val="1"/>
                    <c:pt idx="0">
                      <c:v>-0.15</c:v>
                    </c:pt>
                  </c:strCache>
                </c:strRef>
              </c:tx>
              <c:dLblPos val="ctr"/>
              <c:showVal val="1"/>
            </c:dLbl>
            <c:dLbl>
              <c:idx val="3"/>
              <c:layout>
                <c:manualLayout>
                  <c:x val="-9.84190109571357E-4"/>
                  <c:y val="-4.7765324379497723E-2"/>
                </c:manualLayout>
              </c:layout>
              <c:tx>
                <c:strRef>
                  <c:f>'Results Summary'!$F$129</c:f>
                  <c:strCache>
                    <c:ptCount val="1"/>
                    <c:pt idx="0">
                      <c:v>-0.13</c:v>
                    </c:pt>
                  </c:strCache>
                </c:strRef>
              </c:tx>
              <c:numFmt formatCode="#,##0.00" sourceLinked="0"/>
              <c:spPr>
                <a:noFill/>
              </c:spPr>
              <c:txPr>
                <a:bodyPr/>
                <a:lstStyle/>
                <a:p>
                  <a:pPr>
                    <a:defRPr sz="2200"/>
                  </a:pPr>
                  <a:endParaRPr lang="en-US"/>
                </a:p>
              </c:txPr>
              <c:dLblPos val="ctr"/>
              <c:showVal val="1"/>
            </c:dLbl>
            <c:dLbl>
              <c:idx val="4"/>
              <c:layout>
                <c:manualLayout>
                  <c:x val="9.7747794293726476E-4"/>
                  <c:y val="-3.8860736732372357E-2"/>
                </c:manualLayout>
              </c:layout>
              <c:tx>
                <c:strRef>
                  <c:f>'Results Summary'!$G$129</c:f>
                  <c:strCache>
                    <c:ptCount val="1"/>
                    <c:pt idx="0">
                      <c:v>-0.09</c:v>
                    </c:pt>
                  </c:strCache>
                </c:strRef>
              </c:tx>
              <c:dLblPos val="ctr"/>
              <c:showVal val="1"/>
            </c:dLbl>
            <c:dLbl>
              <c:idx val="5"/>
              <c:layout>
                <c:manualLayout>
                  <c:x val="-9.8419010957128523E-4"/>
                  <c:y val="-2.8306889566732028E-2"/>
                </c:manualLayout>
              </c:layout>
              <c:tx>
                <c:strRef>
                  <c:f>'Results Summary'!$G$129</c:f>
                  <c:strCache>
                    <c:ptCount val="1"/>
                    <c:pt idx="0">
                      <c:v>-0.09</c:v>
                    </c:pt>
                  </c:strCache>
                </c:strRef>
              </c:tx>
              <c:dLblPos val="ctr"/>
              <c:showVal val="1"/>
            </c:dLbl>
            <c:numFmt formatCode="#,##0.00" sourceLinked="0"/>
            <c:spPr>
              <a:solidFill>
                <a:schemeClr val="bg1"/>
              </a:solidFill>
            </c:spPr>
            <c:txPr>
              <a:bodyPr/>
              <a:lstStyle/>
              <a:p>
                <a:pPr>
                  <a:defRPr sz="2200"/>
                </a:pPr>
                <a:endParaRPr lang="en-US"/>
              </a:p>
            </c:txPr>
            <c:dLblPos val="ctr"/>
            <c:showVal val="1"/>
          </c:dLbls>
          <c:cat>
            <c:strRef>
              <c:f>'Results Summary'!$C$95:$H$95</c:f>
              <c:strCache>
                <c:ptCount val="6"/>
                <c:pt idx="0">
                  <c:v>2012</c:v>
                </c:pt>
                <c:pt idx="1">
                  <c:v>2020 LOS</c:v>
                </c:pt>
                <c:pt idx="2">
                  <c:v>Efficiency</c:v>
                </c:pt>
                <c:pt idx="3">
                  <c:v>Wafer</c:v>
                </c:pt>
                <c:pt idx="4">
                  <c:v>Mfg. and Module</c:v>
                </c:pt>
                <c:pt idx="5">
                  <c:v>2020 Adv. Concept</c:v>
                </c:pt>
              </c:strCache>
            </c:strRef>
          </c:cat>
          <c:val>
            <c:numRef>
              <c:f>'Results Summary'!$C$127:$H$127</c:f>
              <c:numCache>
                <c:formatCode>General</c:formatCode>
                <c:ptCount val="6"/>
                <c:pt idx="2">
                  <c:v>0.14648415553527716</c:v>
                </c:pt>
                <c:pt idx="3">
                  <c:v>0.13119712365334191</c:v>
                </c:pt>
                <c:pt idx="4">
                  <c:v>8.9640391631044647E-2</c:v>
                </c:pt>
              </c:numCache>
            </c:numRef>
          </c:val>
        </c:ser>
        <c:gapWidth val="70"/>
        <c:overlap val="100"/>
        <c:axId val="105106816"/>
        <c:axId val="108663936"/>
      </c:barChart>
      <c:catAx>
        <c:axId val="105106816"/>
        <c:scaling>
          <c:orientation val="minMax"/>
        </c:scaling>
        <c:axPos val="b"/>
        <c:numFmt formatCode="General" sourceLinked="1"/>
        <c:majorTickMark val="none"/>
        <c:tickLblPos val="nextTo"/>
        <c:txPr>
          <a:bodyPr rot="-2100000"/>
          <a:lstStyle/>
          <a:p>
            <a:pPr>
              <a:defRPr sz="2200"/>
            </a:pPr>
            <a:endParaRPr lang="en-US"/>
          </a:p>
        </c:txPr>
        <c:crossAx val="108663936"/>
        <c:crosses val="autoZero"/>
        <c:auto val="1"/>
        <c:lblAlgn val="ctr"/>
        <c:lblOffset val="100"/>
      </c:catAx>
      <c:valAx>
        <c:axId val="108663936"/>
        <c:scaling>
          <c:orientation val="minMax"/>
          <c:max val="1.5"/>
        </c:scaling>
        <c:axPos val="l"/>
        <c:majorGridlines>
          <c:spPr>
            <a:ln w="9525">
              <a:solidFill>
                <a:schemeClr val="bg1">
                  <a:lumMod val="50000"/>
                </a:schemeClr>
              </a:solidFill>
              <a:prstDash val="dash"/>
            </a:ln>
          </c:spPr>
        </c:majorGridlines>
        <c:title>
          <c:tx>
            <c:rich>
              <a:bodyPr rot="-5400000" vert="horz"/>
              <a:lstStyle/>
              <a:p>
                <a:pPr>
                  <a:defRPr sz="2800"/>
                </a:pPr>
                <a:r>
                  <a:rPr lang="en-US" sz="2800"/>
                  <a:t>Cost [US$/W</a:t>
                </a:r>
                <a:r>
                  <a:rPr lang="en-US" sz="2800" baseline="-25000"/>
                  <a:t>p</a:t>
                </a:r>
                <a:r>
                  <a:rPr lang="en-US" sz="2800"/>
                  <a:t>]</a:t>
                </a:r>
              </a:p>
            </c:rich>
          </c:tx>
          <c:layout>
            <c:manualLayout>
              <c:xMode val="edge"/>
              <c:yMode val="edge"/>
              <c:x val="8.6771438538497565E-3"/>
              <c:y val="0.31655740706830282"/>
            </c:manualLayout>
          </c:layout>
        </c:title>
        <c:numFmt formatCode="0.00" sourceLinked="0"/>
        <c:tickLblPos val="nextTo"/>
        <c:txPr>
          <a:bodyPr/>
          <a:lstStyle/>
          <a:p>
            <a:pPr>
              <a:defRPr sz="2200"/>
            </a:pPr>
            <a:endParaRPr lang="en-US"/>
          </a:p>
        </c:txPr>
        <c:crossAx val="105106816"/>
        <c:crosses val="autoZero"/>
        <c:crossBetween val="between"/>
        <c:majorUnit val="0.25"/>
      </c:valAx>
      <c:spPr>
        <a:ln>
          <a:solidFill>
            <a:sysClr val="window" lastClr="FFFFFF">
              <a:lumMod val="50000"/>
            </a:sysClr>
          </a:solidFill>
        </a:ln>
      </c:spPr>
    </c:plotArea>
    <c:legend>
      <c:legendPos val="r"/>
      <c:legendEntry>
        <c:idx val="0"/>
        <c:delete val="1"/>
      </c:legendEntry>
      <c:legendEntry>
        <c:idx val="1"/>
        <c:delete val="1"/>
      </c:legendEntry>
      <c:legendEntry>
        <c:idx val="2"/>
        <c:txPr>
          <a:bodyPr/>
          <a:lstStyle/>
          <a:p>
            <a:pPr>
              <a:defRPr sz="1800">
                <a:solidFill>
                  <a:schemeClr val="bg1"/>
                </a:solidFill>
              </a:defRPr>
            </a:pPr>
            <a:endParaRPr lang="en-US"/>
          </a:p>
        </c:txPr>
      </c:legendEntry>
      <c:legendEntry>
        <c:idx val="15"/>
        <c:txPr>
          <a:bodyPr/>
          <a:lstStyle/>
          <a:p>
            <a:pPr>
              <a:defRPr sz="1800">
                <a:solidFill>
                  <a:schemeClr val="bg1"/>
                </a:solidFill>
              </a:defRPr>
            </a:pPr>
            <a:endParaRPr lang="en-US"/>
          </a:p>
        </c:txPr>
      </c:legendEntry>
      <c:legendEntry>
        <c:idx val="24"/>
        <c:txPr>
          <a:bodyPr/>
          <a:lstStyle/>
          <a:p>
            <a:pPr>
              <a:defRPr sz="1800">
                <a:solidFill>
                  <a:schemeClr val="bg1"/>
                </a:solidFill>
              </a:defRPr>
            </a:pPr>
            <a:endParaRPr lang="en-US"/>
          </a:p>
        </c:txPr>
      </c:legendEntry>
      <c:layout>
        <c:manualLayout>
          <c:xMode val="edge"/>
          <c:yMode val="edge"/>
          <c:x val="0.78341408729425044"/>
          <c:y val="8.8363718048757423E-2"/>
          <c:w val="0.14395244413506719"/>
          <c:h val="0.6683365147538376"/>
        </c:manualLayout>
      </c:layout>
      <c:txPr>
        <a:bodyPr/>
        <a:lstStyle/>
        <a:p>
          <a:pPr>
            <a:defRPr sz="1800"/>
          </a:pPr>
          <a:endParaRPr lang="en-US"/>
        </a:p>
      </c:txPr>
    </c:legend>
    <c:plotVisOnly val="1"/>
  </c:chart>
  <c:spPr>
    <a:ln>
      <a:noFill/>
    </a:ln>
  </c:spPr>
  <c:printSettings>
    <c:headerFooter/>
    <c:pageMargins b="0.75000000000000588" l="0.70000000000000062" r="0.70000000000000062" t="0.75000000000000588"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b="1" i="0" baseline="0"/>
              <a:t>U.S. Module Cost Projections</a:t>
            </a:r>
          </a:p>
        </c:rich>
      </c:tx>
      <c:layout>
        <c:manualLayout>
          <c:xMode val="edge"/>
          <c:yMode val="edge"/>
          <c:x val="0.32656587332820747"/>
          <c:y val="3.8078485231221197E-2"/>
        </c:manualLayout>
      </c:layout>
    </c:title>
    <c:plotArea>
      <c:layout>
        <c:manualLayout>
          <c:layoutTarget val="inner"/>
          <c:xMode val="edge"/>
          <c:yMode val="edge"/>
          <c:x val="0.2604580088134188"/>
          <c:y val="9.2653534957122946E-2"/>
          <c:w val="0.50412105721908473"/>
          <c:h val="0.8061249623968888"/>
        </c:manualLayout>
      </c:layout>
      <c:barChart>
        <c:barDir val="col"/>
        <c:grouping val="stacked"/>
        <c:ser>
          <c:idx val="0"/>
          <c:order val="0"/>
          <c:tx>
            <c:strRef>
              <c:f>'Results Summary'!$B$55</c:f>
              <c:strCache>
                <c:ptCount val="1"/>
                <c:pt idx="0">
                  <c:v>Silicon Feedstock</c:v>
                </c:pt>
              </c:strCache>
            </c:strRef>
          </c:tx>
          <c:spPr>
            <a:solidFill>
              <a:srgbClr val="091625"/>
            </a:solidFill>
          </c:spPr>
          <c:cat>
            <c:strRef>
              <c:f>'Results Summary'!$C$52:$D$52</c:f>
              <c:strCache>
                <c:ptCount val="2"/>
                <c:pt idx="0">
                  <c:v>2012</c:v>
                </c:pt>
                <c:pt idx="1">
                  <c:v>2020 Adv. Concept</c:v>
                </c:pt>
              </c:strCache>
            </c:strRef>
          </c:cat>
          <c:val>
            <c:numRef>
              <c:f>'Results Summary'!$C$55:$D$55</c:f>
              <c:numCache>
                <c:formatCode>0.000</c:formatCode>
                <c:ptCount val="2"/>
                <c:pt idx="0">
                  <c:v>0.22872386206896561</c:v>
                </c:pt>
                <c:pt idx="1">
                  <c:v>1.4043428184281845E-2</c:v>
                </c:pt>
              </c:numCache>
            </c:numRef>
          </c:val>
        </c:ser>
        <c:ser>
          <c:idx val="1"/>
          <c:order val="1"/>
          <c:tx>
            <c:strRef>
              <c:f>'Results Summary'!$B$56</c:f>
              <c:strCache>
                <c:ptCount val="1"/>
                <c:pt idx="0">
                  <c:v>Depreciation</c:v>
                </c:pt>
              </c:strCache>
            </c:strRef>
          </c:tx>
          <c:spPr>
            <a:solidFill>
              <a:schemeClr val="tx2">
                <a:lumMod val="60000"/>
                <a:lumOff val="40000"/>
              </a:schemeClr>
            </a:solidFill>
          </c:spPr>
          <c:cat>
            <c:strRef>
              <c:f>'Results Summary'!$C$52:$D$52</c:f>
              <c:strCache>
                <c:ptCount val="2"/>
                <c:pt idx="0">
                  <c:v>2012</c:v>
                </c:pt>
                <c:pt idx="1">
                  <c:v>2020 Adv. Concept</c:v>
                </c:pt>
              </c:strCache>
            </c:strRef>
          </c:cat>
          <c:val>
            <c:numRef>
              <c:f>'Results Summary'!$C$56:$D$56</c:f>
              <c:numCache>
                <c:formatCode>0.000</c:formatCode>
                <c:ptCount val="2"/>
                <c:pt idx="0">
                  <c:v>8.9908448674886676E-2</c:v>
                </c:pt>
                <c:pt idx="1">
                  <c:v>7.3132847885548052E-2</c:v>
                </c:pt>
              </c:numCache>
            </c:numRef>
          </c:val>
        </c:ser>
        <c:ser>
          <c:idx val="2"/>
          <c:order val="2"/>
          <c:tx>
            <c:strRef>
              <c:f>'Results Summary'!$B$57</c:f>
              <c:strCache>
                <c:ptCount val="1"/>
                <c:pt idx="0">
                  <c:v>Labor</c:v>
                </c:pt>
              </c:strCache>
            </c:strRef>
          </c:tx>
          <c:spPr>
            <a:solidFill>
              <a:schemeClr val="tx2">
                <a:lumMod val="40000"/>
                <a:lumOff val="60000"/>
              </a:schemeClr>
            </a:solidFill>
          </c:spPr>
          <c:cat>
            <c:strRef>
              <c:f>'Results Summary'!$C$52:$D$52</c:f>
              <c:strCache>
                <c:ptCount val="2"/>
                <c:pt idx="0">
                  <c:v>2012</c:v>
                </c:pt>
                <c:pt idx="1">
                  <c:v>2020 Adv. Concept</c:v>
                </c:pt>
              </c:strCache>
            </c:strRef>
          </c:cat>
          <c:val>
            <c:numRef>
              <c:f>'Results Summary'!$C$57:$D$57</c:f>
              <c:numCache>
                <c:formatCode>0.000</c:formatCode>
                <c:ptCount val="2"/>
                <c:pt idx="0">
                  <c:v>6.8569504155818362E-2</c:v>
                </c:pt>
                <c:pt idx="1">
                  <c:v>3.1846055573205884E-2</c:v>
                </c:pt>
              </c:numCache>
            </c:numRef>
          </c:val>
        </c:ser>
        <c:ser>
          <c:idx val="3"/>
          <c:order val="3"/>
          <c:tx>
            <c:strRef>
              <c:f>'Results Summary'!$B$58</c:f>
              <c:strCache>
                <c:ptCount val="1"/>
                <c:pt idx="0">
                  <c:v>Wire Sawing</c:v>
                </c:pt>
              </c:strCache>
            </c:strRef>
          </c:tx>
          <c:spPr>
            <a:solidFill>
              <a:schemeClr val="tx2">
                <a:lumMod val="20000"/>
                <a:lumOff val="80000"/>
              </a:schemeClr>
            </a:solidFill>
          </c:spPr>
          <c:cat>
            <c:strRef>
              <c:f>'Results Summary'!$C$52:$D$52</c:f>
              <c:strCache>
                <c:ptCount val="2"/>
                <c:pt idx="0">
                  <c:v>2012</c:v>
                </c:pt>
                <c:pt idx="1">
                  <c:v>2020 Adv. Concept</c:v>
                </c:pt>
              </c:strCache>
            </c:strRef>
          </c:cat>
          <c:val>
            <c:numRef>
              <c:f>'Results Summary'!$C$58:$D$58</c:f>
              <c:numCache>
                <c:formatCode>General</c:formatCode>
                <c:ptCount val="2"/>
                <c:pt idx="0" formatCode="0.000">
                  <c:v>6.4116132366093634E-2</c:v>
                </c:pt>
                <c:pt idx="1">
                  <c:v>0</c:v>
                </c:pt>
              </c:numCache>
            </c:numRef>
          </c:val>
        </c:ser>
        <c:ser>
          <c:idx val="29"/>
          <c:order val="4"/>
          <c:tx>
            <c:strRef>
              <c:f>'Results Summary'!$B$59</c:f>
              <c:strCache>
                <c:ptCount val="1"/>
                <c:pt idx="0">
                  <c:v>Ingot Casting</c:v>
                </c:pt>
              </c:strCache>
            </c:strRef>
          </c:tx>
          <c:spPr>
            <a:solidFill>
              <a:schemeClr val="tx2">
                <a:lumMod val="40000"/>
                <a:lumOff val="60000"/>
              </a:schemeClr>
            </a:solidFill>
          </c:spPr>
          <c:cat>
            <c:strRef>
              <c:f>'Results Summary'!$C$52:$D$52</c:f>
              <c:strCache>
                <c:ptCount val="2"/>
                <c:pt idx="0">
                  <c:v>2012</c:v>
                </c:pt>
                <c:pt idx="1">
                  <c:v>2020 Adv. Concept</c:v>
                </c:pt>
              </c:strCache>
            </c:strRef>
          </c:cat>
          <c:val>
            <c:numRef>
              <c:f>'Results Summary'!$C$59:$D$59</c:f>
              <c:numCache>
                <c:formatCode>General</c:formatCode>
                <c:ptCount val="2"/>
                <c:pt idx="0" formatCode="0.000">
                  <c:v>2.944108118851238E-2</c:v>
                </c:pt>
                <c:pt idx="1">
                  <c:v>0</c:v>
                </c:pt>
              </c:numCache>
            </c:numRef>
          </c:val>
        </c:ser>
        <c:ser>
          <c:idx val="30"/>
          <c:order val="5"/>
          <c:tx>
            <c:strRef>
              <c:f>'Results Summary'!$B$60</c:f>
              <c:strCache>
                <c:ptCount val="1"/>
                <c:pt idx="0">
                  <c:v>Maintenance</c:v>
                </c:pt>
              </c:strCache>
            </c:strRef>
          </c:tx>
          <c:spPr>
            <a:solidFill>
              <a:schemeClr val="tx2">
                <a:lumMod val="60000"/>
                <a:lumOff val="40000"/>
              </a:schemeClr>
            </a:solidFill>
          </c:spPr>
          <c:cat>
            <c:strRef>
              <c:f>'Results Summary'!$C$52:$D$52</c:f>
              <c:strCache>
                <c:ptCount val="2"/>
                <c:pt idx="0">
                  <c:v>2012</c:v>
                </c:pt>
                <c:pt idx="1">
                  <c:v>2020 Adv. Concept</c:v>
                </c:pt>
              </c:strCache>
            </c:strRef>
          </c:cat>
          <c:val>
            <c:numRef>
              <c:f>'Results Summary'!$C$60:$D$60</c:f>
              <c:numCache>
                <c:formatCode>0.000</c:formatCode>
                <c:ptCount val="2"/>
                <c:pt idx="0">
                  <c:v>2.6612283970982815E-2</c:v>
                </c:pt>
                <c:pt idx="1">
                  <c:v>1.7892002276664092E-2</c:v>
                </c:pt>
              </c:numCache>
            </c:numRef>
          </c:val>
        </c:ser>
        <c:ser>
          <c:idx val="31"/>
          <c:order val="6"/>
          <c:tx>
            <c:strRef>
              <c:f>'Results Summary'!$B$61</c:f>
              <c:strCache>
                <c:ptCount val="1"/>
                <c:pt idx="0">
                  <c:v>Yield Loss</c:v>
                </c:pt>
              </c:strCache>
            </c:strRef>
          </c:tx>
          <c:spPr>
            <a:solidFill>
              <a:schemeClr val="tx2">
                <a:lumMod val="75000"/>
              </a:schemeClr>
            </a:solidFill>
          </c:spPr>
          <c:cat>
            <c:strRef>
              <c:f>'Results Summary'!$C$52:$D$52</c:f>
              <c:strCache>
                <c:ptCount val="2"/>
                <c:pt idx="0">
                  <c:v>2012</c:v>
                </c:pt>
                <c:pt idx="1">
                  <c:v>2020 Adv. Concept</c:v>
                </c:pt>
              </c:strCache>
            </c:strRef>
          </c:cat>
          <c:val>
            <c:numRef>
              <c:f>'Results Summary'!$C$61:$D$61</c:f>
              <c:numCache>
                <c:formatCode>0.000</c:formatCode>
                <c:ptCount val="2"/>
                <c:pt idx="0">
                  <c:v>2.7977377569732953E-2</c:v>
                </c:pt>
                <c:pt idx="1">
                  <c:v>4.3411204502882272E-3</c:v>
                </c:pt>
              </c:numCache>
            </c:numRef>
          </c:val>
        </c:ser>
        <c:ser>
          <c:idx val="32"/>
          <c:order val="7"/>
          <c:tx>
            <c:strRef>
              <c:f>'Results Summary'!$B$62</c:f>
              <c:strCache>
                <c:ptCount val="1"/>
                <c:pt idx="0">
                  <c:v>Input Electricity</c:v>
                </c:pt>
              </c:strCache>
            </c:strRef>
          </c:tx>
          <c:spPr>
            <a:solidFill>
              <a:schemeClr val="tx2">
                <a:lumMod val="50000"/>
              </a:schemeClr>
            </a:solidFill>
          </c:spPr>
          <c:cat>
            <c:strRef>
              <c:f>'Results Summary'!$C$52:$D$52</c:f>
              <c:strCache>
                <c:ptCount val="2"/>
                <c:pt idx="0">
                  <c:v>2012</c:v>
                </c:pt>
                <c:pt idx="1">
                  <c:v>2020 Adv. Concept</c:v>
                </c:pt>
              </c:strCache>
            </c:strRef>
          </c:cat>
          <c:val>
            <c:numRef>
              <c:f>'Results Summary'!$C$62:$D$62</c:f>
              <c:numCache>
                <c:formatCode>0.000</c:formatCode>
                <c:ptCount val="2"/>
                <c:pt idx="0">
                  <c:v>2.4198861399667065E-2</c:v>
                </c:pt>
                <c:pt idx="1">
                  <c:v>3.4485606396192753E-3</c:v>
                </c:pt>
              </c:numCache>
            </c:numRef>
          </c:val>
        </c:ser>
        <c:ser>
          <c:idx val="28"/>
          <c:order val="8"/>
          <c:spPr>
            <a:noFill/>
          </c:spPr>
          <c:cat>
            <c:strRef>
              <c:f>'Results Summary'!$C$52:$D$52</c:f>
              <c:strCache>
                <c:ptCount val="2"/>
                <c:pt idx="0">
                  <c:v>2012</c:v>
                </c:pt>
                <c:pt idx="1">
                  <c:v>2020 Adv. Concept</c:v>
                </c:pt>
              </c:strCache>
            </c:strRef>
          </c:cat>
          <c:val>
            <c:numLit>
              <c:formatCode>General</c:formatCode>
              <c:ptCount val="1"/>
              <c:pt idx="0">
                <c:v>0</c:v>
              </c:pt>
            </c:numLit>
          </c:val>
        </c:ser>
        <c:ser>
          <c:idx val="6"/>
          <c:order val="9"/>
          <c:tx>
            <c:strRef>
              <c:f>'Results Summary'!$B$64</c:f>
              <c:strCache>
                <c:ptCount val="1"/>
                <c:pt idx="0">
                  <c:v>Metal Paste</c:v>
                </c:pt>
              </c:strCache>
            </c:strRef>
          </c:tx>
          <c:spPr>
            <a:solidFill>
              <a:srgbClr val="471A19"/>
            </a:solidFill>
          </c:spPr>
          <c:cat>
            <c:strRef>
              <c:f>'Results Summary'!$C$52:$D$52</c:f>
              <c:strCache>
                <c:ptCount val="2"/>
                <c:pt idx="0">
                  <c:v>2012</c:v>
                </c:pt>
                <c:pt idx="1">
                  <c:v>2020 Adv. Concept</c:v>
                </c:pt>
              </c:strCache>
            </c:strRef>
          </c:cat>
          <c:val>
            <c:numRef>
              <c:f>'Results Summary'!$C$64:$D$64</c:f>
              <c:numCache>
                <c:formatCode>0.000</c:formatCode>
                <c:ptCount val="2"/>
                <c:pt idx="0">
                  <c:v>0.11081283865387735</c:v>
                </c:pt>
                <c:pt idx="1">
                  <c:v>5.3519026314523502E-2</c:v>
                </c:pt>
              </c:numCache>
            </c:numRef>
          </c:val>
        </c:ser>
        <c:ser>
          <c:idx val="7"/>
          <c:order val="10"/>
          <c:tx>
            <c:strRef>
              <c:f>'Results Summary'!$B$65</c:f>
              <c:strCache>
                <c:ptCount val="1"/>
                <c:pt idx="0">
                  <c:v>Depreciation</c:v>
                </c:pt>
              </c:strCache>
            </c:strRef>
          </c:tx>
          <c:spPr>
            <a:solidFill>
              <a:schemeClr val="accent2">
                <a:lumMod val="75000"/>
              </a:schemeClr>
            </a:solidFill>
          </c:spPr>
          <c:cat>
            <c:strRef>
              <c:f>'Results Summary'!$C$52:$D$52</c:f>
              <c:strCache>
                <c:ptCount val="2"/>
                <c:pt idx="0">
                  <c:v>2012</c:v>
                </c:pt>
                <c:pt idx="1">
                  <c:v>2020 Adv. Concept</c:v>
                </c:pt>
              </c:strCache>
            </c:strRef>
          </c:cat>
          <c:val>
            <c:numRef>
              <c:f>'Results Summary'!$C$65:$D$65</c:f>
              <c:numCache>
                <c:formatCode>0.000</c:formatCode>
                <c:ptCount val="2"/>
                <c:pt idx="0">
                  <c:v>6.2539231151438265E-2</c:v>
                </c:pt>
                <c:pt idx="1">
                  <c:v>5.0870325826840632E-2</c:v>
                </c:pt>
              </c:numCache>
            </c:numRef>
          </c:val>
        </c:ser>
        <c:ser>
          <c:idx val="8"/>
          <c:order val="11"/>
          <c:tx>
            <c:strRef>
              <c:f>'Results Summary'!$B$66</c:f>
              <c:strCache>
                <c:ptCount val="1"/>
                <c:pt idx="0">
                  <c:v>Chemicals</c:v>
                </c:pt>
              </c:strCache>
            </c:strRef>
          </c:tx>
          <c:spPr>
            <a:solidFill>
              <a:schemeClr val="accent2">
                <a:lumMod val="60000"/>
                <a:lumOff val="40000"/>
              </a:schemeClr>
            </a:solidFill>
          </c:spPr>
          <c:cat>
            <c:strRef>
              <c:f>'Results Summary'!$C$52:$D$52</c:f>
              <c:strCache>
                <c:ptCount val="2"/>
                <c:pt idx="0">
                  <c:v>2012</c:v>
                </c:pt>
                <c:pt idx="1">
                  <c:v>2020 Adv. Concept</c:v>
                </c:pt>
              </c:strCache>
            </c:strRef>
          </c:cat>
          <c:val>
            <c:numRef>
              <c:f>'Results Summary'!$C$66:$D$66</c:f>
              <c:numCache>
                <c:formatCode>0.000</c:formatCode>
                <c:ptCount val="2"/>
                <c:pt idx="0">
                  <c:v>4.5398898184044079E-2</c:v>
                </c:pt>
                <c:pt idx="1">
                  <c:v>1.6697936210131333E-2</c:v>
                </c:pt>
              </c:numCache>
            </c:numRef>
          </c:val>
        </c:ser>
        <c:ser>
          <c:idx val="9"/>
          <c:order val="12"/>
          <c:tx>
            <c:strRef>
              <c:f>'Results Summary'!$B$67</c:f>
              <c:strCache>
                <c:ptCount val="1"/>
                <c:pt idx="0">
                  <c:v>Labor</c:v>
                </c:pt>
              </c:strCache>
            </c:strRef>
          </c:tx>
          <c:spPr>
            <a:solidFill>
              <a:schemeClr val="accent2">
                <a:lumMod val="40000"/>
                <a:lumOff val="60000"/>
              </a:schemeClr>
            </a:solidFill>
          </c:spPr>
          <c:cat>
            <c:strRef>
              <c:f>'Results Summary'!$C$52:$D$52</c:f>
              <c:strCache>
                <c:ptCount val="2"/>
                <c:pt idx="0">
                  <c:v>2012</c:v>
                </c:pt>
                <c:pt idx="1">
                  <c:v>2020 Adv. Concept</c:v>
                </c:pt>
              </c:strCache>
            </c:strRef>
          </c:cat>
          <c:val>
            <c:numRef>
              <c:f>'Results Summary'!$C$67:$D$67</c:f>
              <c:numCache>
                <c:formatCode>0.000</c:formatCode>
                <c:ptCount val="2"/>
                <c:pt idx="0">
                  <c:v>3.3612502037165863E-2</c:v>
                </c:pt>
                <c:pt idx="1">
                  <c:v>1.3361981359387085E-2</c:v>
                </c:pt>
              </c:numCache>
            </c:numRef>
          </c:val>
        </c:ser>
        <c:ser>
          <c:idx val="10"/>
          <c:order val="13"/>
          <c:tx>
            <c:strRef>
              <c:f>'Results Summary'!$B$68</c:f>
              <c:strCache>
                <c:ptCount val="1"/>
                <c:pt idx="0">
                  <c:v>Yield Loss</c:v>
                </c:pt>
              </c:strCache>
            </c:strRef>
          </c:tx>
          <c:spPr>
            <a:solidFill>
              <a:schemeClr val="accent2">
                <a:lumMod val="20000"/>
                <a:lumOff val="80000"/>
              </a:schemeClr>
            </a:solidFill>
          </c:spPr>
          <c:cat>
            <c:strRef>
              <c:f>'Results Summary'!$C$52:$D$52</c:f>
              <c:strCache>
                <c:ptCount val="2"/>
                <c:pt idx="0">
                  <c:v>2012</c:v>
                </c:pt>
                <c:pt idx="1">
                  <c:v>2020 Adv. Concept</c:v>
                </c:pt>
              </c:strCache>
            </c:strRef>
          </c:cat>
          <c:val>
            <c:numRef>
              <c:f>'Results Summary'!$C$68:$D$68</c:f>
              <c:numCache>
                <c:formatCode>0.000</c:formatCode>
                <c:ptCount val="2"/>
                <c:pt idx="0">
                  <c:v>3.0398837271895074E-2</c:v>
                </c:pt>
                <c:pt idx="1">
                  <c:v>1.1225050006718307E-2</c:v>
                </c:pt>
              </c:numCache>
            </c:numRef>
          </c:val>
        </c:ser>
        <c:ser>
          <c:idx val="11"/>
          <c:order val="14"/>
          <c:tx>
            <c:strRef>
              <c:f>'Results Summary'!$B$69</c:f>
              <c:strCache>
                <c:ptCount val="1"/>
                <c:pt idx="0">
                  <c:v>Input Electricity</c:v>
                </c:pt>
              </c:strCache>
            </c:strRef>
          </c:tx>
          <c:spPr>
            <a:solidFill>
              <a:schemeClr val="accent2">
                <a:lumMod val="40000"/>
                <a:lumOff val="60000"/>
              </a:schemeClr>
            </a:solidFill>
          </c:spPr>
          <c:cat>
            <c:strRef>
              <c:f>'Results Summary'!$C$52:$D$52</c:f>
              <c:strCache>
                <c:ptCount val="2"/>
                <c:pt idx="0">
                  <c:v>2012</c:v>
                </c:pt>
                <c:pt idx="1">
                  <c:v>2020 Adv. Concept</c:v>
                </c:pt>
              </c:strCache>
            </c:strRef>
          </c:cat>
          <c:val>
            <c:numRef>
              <c:f>'Results Summary'!$C$69:$D$69</c:f>
              <c:numCache>
                <c:formatCode>0.000</c:formatCode>
                <c:ptCount val="2"/>
                <c:pt idx="0">
                  <c:v>2.3635862068965521E-2</c:v>
                </c:pt>
                <c:pt idx="1">
                  <c:v>2.1494634146341469E-2</c:v>
                </c:pt>
              </c:numCache>
            </c:numRef>
          </c:val>
        </c:ser>
        <c:ser>
          <c:idx val="12"/>
          <c:order val="15"/>
          <c:tx>
            <c:strRef>
              <c:f>'Results Summary'!$B$70</c:f>
              <c:strCache>
                <c:ptCount val="1"/>
                <c:pt idx="0">
                  <c:v>Maintenance</c:v>
                </c:pt>
              </c:strCache>
            </c:strRef>
          </c:tx>
          <c:spPr>
            <a:solidFill>
              <a:schemeClr val="accent2">
                <a:lumMod val="60000"/>
                <a:lumOff val="40000"/>
              </a:schemeClr>
            </a:solidFill>
          </c:spPr>
          <c:cat>
            <c:strRef>
              <c:f>'Results Summary'!$C$52:$D$52</c:f>
              <c:strCache>
                <c:ptCount val="2"/>
                <c:pt idx="0">
                  <c:v>2012</c:v>
                </c:pt>
                <c:pt idx="1">
                  <c:v>2020 Adv. Concept</c:v>
                </c:pt>
              </c:strCache>
            </c:strRef>
          </c:cat>
          <c:val>
            <c:numRef>
              <c:f>'Results Summary'!$C$70:$D$70</c:f>
              <c:numCache>
                <c:formatCode>0.000</c:formatCode>
                <c:ptCount val="2"/>
                <c:pt idx="0">
                  <c:v>1.7959059524992552E-2</c:v>
                </c:pt>
                <c:pt idx="1">
                  <c:v>1.3183866054403602E-2</c:v>
                </c:pt>
              </c:numCache>
            </c:numRef>
          </c:val>
        </c:ser>
        <c:ser>
          <c:idx val="4"/>
          <c:order val="16"/>
          <c:tx>
            <c:strRef>
              <c:f>'Results Summary'!$B$71</c:f>
              <c:strCache>
                <c:ptCount val="1"/>
                <c:pt idx="0">
                  <c:v>Screens</c:v>
                </c:pt>
              </c:strCache>
            </c:strRef>
          </c:tx>
          <c:spPr>
            <a:solidFill>
              <a:schemeClr val="accent2">
                <a:lumMod val="75000"/>
              </a:schemeClr>
            </a:solidFill>
          </c:spPr>
          <c:cat>
            <c:strRef>
              <c:f>'Results Summary'!$C$52:$D$52</c:f>
              <c:strCache>
                <c:ptCount val="2"/>
                <c:pt idx="0">
                  <c:v>2012</c:v>
                </c:pt>
                <c:pt idx="1">
                  <c:v>2020 Adv. Concept</c:v>
                </c:pt>
              </c:strCache>
            </c:strRef>
          </c:cat>
          <c:val>
            <c:numRef>
              <c:f>'Results Summary'!$C$71:$D$71</c:f>
              <c:numCache>
                <c:formatCode>General</c:formatCode>
                <c:ptCount val="2"/>
                <c:pt idx="0" formatCode="0.000">
                  <c:v>1.2610805051123355E-2</c:v>
                </c:pt>
                <c:pt idx="1">
                  <c:v>0</c:v>
                </c:pt>
              </c:numCache>
            </c:numRef>
          </c:val>
        </c:ser>
        <c:ser>
          <c:idx val="27"/>
          <c:order val="17"/>
          <c:spPr>
            <a:noFill/>
          </c:spPr>
          <c:cat>
            <c:strRef>
              <c:f>'Results Summary'!$C$52:$D$52</c:f>
              <c:strCache>
                <c:ptCount val="2"/>
                <c:pt idx="0">
                  <c:v>2012</c:v>
                </c:pt>
                <c:pt idx="1">
                  <c:v>2020 Adv. Concept</c:v>
                </c:pt>
              </c:strCache>
            </c:strRef>
          </c:cat>
          <c:val>
            <c:numLit>
              <c:formatCode>General</c:formatCode>
              <c:ptCount val="1"/>
              <c:pt idx="0">
                <c:v>0</c:v>
              </c:pt>
            </c:numLit>
          </c:val>
        </c:ser>
        <c:ser>
          <c:idx val="13"/>
          <c:order val="18"/>
          <c:tx>
            <c:strRef>
              <c:f>'Results Summary'!$B$73</c:f>
              <c:strCache>
                <c:ptCount val="1"/>
                <c:pt idx="0">
                  <c:v>Glass</c:v>
                </c:pt>
              </c:strCache>
            </c:strRef>
          </c:tx>
          <c:spPr>
            <a:solidFill>
              <a:srgbClr val="392B49"/>
            </a:solidFill>
          </c:spPr>
          <c:cat>
            <c:strRef>
              <c:f>'Results Summary'!$C$52:$D$52</c:f>
              <c:strCache>
                <c:ptCount val="2"/>
                <c:pt idx="0">
                  <c:v>2012</c:v>
                </c:pt>
                <c:pt idx="1">
                  <c:v>2020 Adv. Concept</c:v>
                </c:pt>
              </c:strCache>
            </c:strRef>
          </c:cat>
          <c:val>
            <c:numRef>
              <c:f>'Results Summary'!$C$73:$D$73</c:f>
              <c:numCache>
                <c:formatCode>0.000</c:formatCode>
                <c:ptCount val="2"/>
                <c:pt idx="0">
                  <c:v>7.3275862068965525E-2</c:v>
                </c:pt>
                <c:pt idx="1">
                  <c:v>4.6775914634146334E-2</c:v>
                </c:pt>
              </c:numCache>
            </c:numRef>
          </c:val>
        </c:ser>
        <c:ser>
          <c:idx val="14"/>
          <c:order val="19"/>
          <c:tx>
            <c:strRef>
              <c:f>'Results Summary'!$B$74</c:f>
              <c:strCache>
                <c:ptCount val="1"/>
                <c:pt idx="0">
                  <c:v>Frame</c:v>
                </c:pt>
              </c:strCache>
            </c:strRef>
          </c:tx>
          <c:spPr>
            <a:solidFill>
              <a:schemeClr val="accent4">
                <a:lumMod val="75000"/>
              </a:schemeClr>
            </a:solidFill>
          </c:spPr>
          <c:cat>
            <c:strRef>
              <c:f>'Results Summary'!$C$52:$D$52</c:f>
              <c:strCache>
                <c:ptCount val="2"/>
                <c:pt idx="0">
                  <c:v>2012</c:v>
                </c:pt>
                <c:pt idx="1">
                  <c:v>2020 Adv. Concept</c:v>
                </c:pt>
              </c:strCache>
            </c:strRef>
          </c:cat>
          <c:val>
            <c:numRef>
              <c:f>'Results Summary'!$C$74:$D$74</c:f>
              <c:numCache>
                <c:formatCode>General</c:formatCode>
                <c:ptCount val="2"/>
                <c:pt idx="0" formatCode="0.000">
                  <c:v>5.9997421887852433E-2</c:v>
                </c:pt>
                <c:pt idx="1">
                  <c:v>0</c:v>
                </c:pt>
              </c:numCache>
            </c:numRef>
          </c:val>
        </c:ser>
        <c:ser>
          <c:idx val="15"/>
          <c:order val="20"/>
          <c:tx>
            <c:strRef>
              <c:f>'Results Summary'!$B$75</c:f>
              <c:strCache>
                <c:ptCount val="1"/>
                <c:pt idx="0">
                  <c:v>Back Sheet</c:v>
                </c:pt>
              </c:strCache>
            </c:strRef>
          </c:tx>
          <c:spPr>
            <a:solidFill>
              <a:schemeClr val="accent4">
                <a:lumMod val="60000"/>
                <a:lumOff val="40000"/>
              </a:schemeClr>
            </a:solidFill>
          </c:spPr>
          <c:cat>
            <c:strRef>
              <c:f>'Results Summary'!$C$52:$D$52</c:f>
              <c:strCache>
                <c:ptCount val="2"/>
                <c:pt idx="0">
                  <c:v>2012</c:v>
                </c:pt>
                <c:pt idx="1">
                  <c:v>2020 Adv. Concept</c:v>
                </c:pt>
              </c:strCache>
            </c:strRef>
          </c:cat>
          <c:val>
            <c:numRef>
              <c:f>'Results Summary'!$C$75:$D$75</c:f>
              <c:numCache>
                <c:formatCode>0.000</c:formatCode>
                <c:ptCount val="2"/>
                <c:pt idx="0">
                  <c:v>4.9568965517241388E-2</c:v>
                </c:pt>
                <c:pt idx="1">
                  <c:v>3.1642530487804882E-2</c:v>
                </c:pt>
              </c:numCache>
            </c:numRef>
          </c:val>
        </c:ser>
        <c:ser>
          <c:idx val="16"/>
          <c:order val="21"/>
          <c:tx>
            <c:strRef>
              <c:f>'Results Summary'!$B$76</c:f>
              <c:strCache>
                <c:ptCount val="1"/>
                <c:pt idx="0">
                  <c:v>JB and Cable</c:v>
                </c:pt>
              </c:strCache>
            </c:strRef>
          </c:tx>
          <c:spPr>
            <a:solidFill>
              <a:schemeClr val="accent4">
                <a:lumMod val="40000"/>
                <a:lumOff val="60000"/>
              </a:schemeClr>
            </a:solidFill>
          </c:spPr>
          <c:cat>
            <c:strRef>
              <c:f>'Results Summary'!$C$52:$D$52</c:f>
              <c:strCache>
                <c:ptCount val="2"/>
                <c:pt idx="0">
                  <c:v>2012</c:v>
                </c:pt>
                <c:pt idx="1">
                  <c:v>2020 Adv. Concept</c:v>
                </c:pt>
              </c:strCache>
            </c:strRef>
          </c:cat>
          <c:val>
            <c:numRef>
              <c:f>'Results Summary'!$C$76:$D$76</c:f>
              <c:numCache>
                <c:formatCode>0.000</c:formatCode>
                <c:ptCount val="2"/>
                <c:pt idx="0">
                  <c:v>0.04</c:v>
                </c:pt>
                <c:pt idx="1">
                  <c:v>3.61E-2</c:v>
                </c:pt>
              </c:numCache>
            </c:numRef>
          </c:val>
        </c:ser>
        <c:ser>
          <c:idx val="17"/>
          <c:order val="22"/>
          <c:tx>
            <c:strRef>
              <c:f>'Results Summary'!$B$77</c:f>
              <c:strCache>
                <c:ptCount val="1"/>
                <c:pt idx="0">
                  <c:v>Encapsulant</c:v>
                </c:pt>
              </c:strCache>
            </c:strRef>
          </c:tx>
          <c:spPr>
            <a:solidFill>
              <a:schemeClr val="accent4">
                <a:lumMod val="20000"/>
                <a:lumOff val="80000"/>
              </a:schemeClr>
            </a:solidFill>
          </c:spPr>
          <c:cat>
            <c:strRef>
              <c:f>'Results Summary'!$C$52:$D$52</c:f>
              <c:strCache>
                <c:ptCount val="2"/>
                <c:pt idx="0">
                  <c:v>2012</c:v>
                </c:pt>
                <c:pt idx="1">
                  <c:v>2020 Adv. Concept</c:v>
                </c:pt>
              </c:strCache>
            </c:strRef>
          </c:cat>
          <c:val>
            <c:numRef>
              <c:f>'Results Summary'!$C$77:$D$77</c:f>
              <c:numCache>
                <c:formatCode>0.000</c:formatCode>
                <c:ptCount val="2"/>
                <c:pt idx="0">
                  <c:v>3.8793103448275863E-2</c:v>
                </c:pt>
                <c:pt idx="1">
                  <c:v>2.476371951219512E-2</c:v>
                </c:pt>
              </c:numCache>
            </c:numRef>
          </c:val>
        </c:ser>
        <c:ser>
          <c:idx val="18"/>
          <c:order val="23"/>
          <c:tx>
            <c:strRef>
              <c:f>'Results Summary'!$B$78</c:f>
              <c:strCache>
                <c:ptCount val="1"/>
                <c:pt idx="0">
                  <c:v>Labor</c:v>
                </c:pt>
              </c:strCache>
            </c:strRef>
          </c:tx>
          <c:spPr>
            <a:solidFill>
              <a:schemeClr val="accent4">
                <a:lumMod val="40000"/>
                <a:lumOff val="60000"/>
              </a:schemeClr>
            </a:solidFill>
          </c:spPr>
          <c:cat>
            <c:strRef>
              <c:f>'Results Summary'!$C$52:$D$52</c:f>
              <c:strCache>
                <c:ptCount val="2"/>
                <c:pt idx="0">
                  <c:v>2012</c:v>
                </c:pt>
                <c:pt idx="1">
                  <c:v>2020 Adv. Concept</c:v>
                </c:pt>
              </c:strCache>
            </c:strRef>
          </c:cat>
          <c:val>
            <c:numRef>
              <c:f>'Results Summary'!$C$78:$D$78</c:f>
              <c:numCache>
                <c:formatCode>0.000</c:formatCode>
                <c:ptCount val="2"/>
                <c:pt idx="0">
                  <c:v>3.3612502037165863E-2</c:v>
                </c:pt>
                <c:pt idx="1">
                  <c:v>1.3361981359387085E-2</c:v>
                </c:pt>
              </c:numCache>
            </c:numRef>
          </c:val>
        </c:ser>
        <c:ser>
          <c:idx val="19"/>
          <c:order val="24"/>
          <c:tx>
            <c:strRef>
              <c:f>'Results Summary'!$B$79</c:f>
              <c:strCache>
                <c:ptCount val="1"/>
                <c:pt idx="0">
                  <c:v>Ribbon</c:v>
                </c:pt>
              </c:strCache>
            </c:strRef>
          </c:tx>
          <c:spPr>
            <a:solidFill>
              <a:schemeClr val="accent4">
                <a:lumMod val="60000"/>
                <a:lumOff val="40000"/>
              </a:schemeClr>
            </a:solidFill>
          </c:spPr>
          <c:cat>
            <c:strRef>
              <c:f>'Results Summary'!$C$52:$D$52</c:f>
              <c:strCache>
                <c:ptCount val="2"/>
                <c:pt idx="0">
                  <c:v>2012</c:v>
                </c:pt>
                <c:pt idx="1">
                  <c:v>2020 Adv. Concept</c:v>
                </c:pt>
              </c:strCache>
            </c:strRef>
          </c:cat>
          <c:val>
            <c:numRef>
              <c:f>'Results Summary'!$C$79:$D$79</c:f>
              <c:numCache>
                <c:formatCode>General</c:formatCode>
                <c:ptCount val="2"/>
                <c:pt idx="0" formatCode="0.000">
                  <c:v>3.2327586206896554E-2</c:v>
                </c:pt>
                <c:pt idx="1">
                  <c:v>0</c:v>
                </c:pt>
              </c:numCache>
            </c:numRef>
          </c:val>
        </c:ser>
        <c:ser>
          <c:idx val="20"/>
          <c:order val="25"/>
          <c:tx>
            <c:strRef>
              <c:f>'Results Summary'!$B$80</c:f>
              <c:strCache>
                <c:ptCount val="1"/>
                <c:pt idx="0">
                  <c:v>Depreciation</c:v>
                </c:pt>
              </c:strCache>
            </c:strRef>
          </c:tx>
          <c:spPr>
            <a:solidFill>
              <a:schemeClr val="accent4">
                <a:lumMod val="75000"/>
              </a:schemeClr>
            </a:solidFill>
          </c:spPr>
          <c:cat>
            <c:strRef>
              <c:f>'Results Summary'!$C$52:$D$52</c:f>
              <c:strCache>
                <c:ptCount val="2"/>
                <c:pt idx="0">
                  <c:v>2012</c:v>
                </c:pt>
                <c:pt idx="1">
                  <c:v>2020 Adv. Concept</c:v>
                </c:pt>
              </c:strCache>
            </c:strRef>
          </c:cat>
          <c:val>
            <c:numRef>
              <c:f>'Results Summary'!$C$80:$D$80</c:f>
              <c:numCache>
                <c:formatCode>0.000</c:formatCode>
                <c:ptCount val="2"/>
                <c:pt idx="0">
                  <c:v>2.8367725911373737E-2</c:v>
                </c:pt>
                <c:pt idx="1">
                  <c:v>2.307472339376376E-2</c:v>
                </c:pt>
              </c:numCache>
            </c:numRef>
          </c:val>
        </c:ser>
        <c:ser>
          <c:idx val="21"/>
          <c:order val="26"/>
          <c:tx>
            <c:strRef>
              <c:f>'Results Summary'!$B$81</c:f>
              <c:strCache>
                <c:ptCount val="1"/>
                <c:pt idx="0">
                  <c:v>Yield Loss</c:v>
                </c:pt>
              </c:strCache>
            </c:strRef>
          </c:tx>
          <c:spPr>
            <a:solidFill>
              <a:srgbClr val="392B49"/>
            </a:solidFill>
          </c:spPr>
          <c:cat>
            <c:strRef>
              <c:f>'Results Summary'!$C$52:$D$52</c:f>
              <c:strCache>
                <c:ptCount val="2"/>
                <c:pt idx="0">
                  <c:v>2012</c:v>
                </c:pt>
                <c:pt idx="1">
                  <c:v>2020 Adv. Concept</c:v>
                </c:pt>
              </c:strCache>
            </c:strRef>
          </c:cat>
          <c:val>
            <c:numRef>
              <c:f>'Results Summary'!$C$81:$D$81</c:f>
              <c:numCache>
                <c:formatCode>0.000</c:formatCode>
                <c:ptCount val="2"/>
                <c:pt idx="0">
                  <c:v>2.4686836894118658E-2</c:v>
                </c:pt>
                <c:pt idx="1">
                  <c:v>1.0141909102574787E-2</c:v>
                </c:pt>
              </c:numCache>
            </c:numRef>
          </c:val>
        </c:ser>
        <c:ser>
          <c:idx val="22"/>
          <c:order val="27"/>
          <c:tx>
            <c:strRef>
              <c:f>'Results Summary'!$B$82</c:f>
              <c:strCache>
                <c:ptCount val="1"/>
                <c:pt idx="0">
                  <c:v>Maintenance</c:v>
                </c:pt>
              </c:strCache>
            </c:strRef>
          </c:tx>
          <c:spPr>
            <a:solidFill>
              <a:schemeClr val="accent4">
                <a:lumMod val="75000"/>
              </a:schemeClr>
            </a:solidFill>
          </c:spPr>
          <c:cat>
            <c:strRef>
              <c:f>'Results Summary'!$C$52:$D$52</c:f>
              <c:strCache>
                <c:ptCount val="2"/>
                <c:pt idx="0">
                  <c:v>2012</c:v>
                </c:pt>
                <c:pt idx="1">
                  <c:v>2020 Adv. Concept</c:v>
                </c:pt>
              </c:strCache>
            </c:strRef>
          </c:cat>
          <c:val>
            <c:numRef>
              <c:f>'Results Summary'!$C$82:$D$82</c:f>
              <c:numCache>
                <c:formatCode>0.000</c:formatCode>
                <c:ptCount val="2"/>
                <c:pt idx="0">
                  <c:v>8.9931598926761419E-3</c:v>
                </c:pt>
                <c:pt idx="1">
                  <c:v>6.6019389971884437E-3</c:v>
                </c:pt>
              </c:numCache>
            </c:numRef>
          </c:val>
        </c:ser>
        <c:ser>
          <c:idx val="23"/>
          <c:order val="28"/>
          <c:tx>
            <c:strRef>
              <c:f>'Results Summary'!$B$83</c:f>
              <c:strCache>
                <c:ptCount val="1"/>
                <c:pt idx="0">
                  <c:v>Input Electricity</c:v>
                </c:pt>
              </c:strCache>
            </c:strRef>
          </c:tx>
          <c:spPr>
            <a:solidFill>
              <a:schemeClr val="accent4">
                <a:lumMod val="60000"/>
                <a:lumOff val="40000"/>
              </a:schemeClr>
            </a:solidFill>
          </c:spPr>
          <c:dLbls>
            <c:dLbl>
              <c:idx val="0"/>
              <c:layout>
                <c:manualLayout>
                  <c:x val="1.7990421277805119E-3"/>
                  <c:y val="-5.6059369162303446E-2"/>
                </c:manualLayout>
              </c:layout>
              <c:tx>
                <c:strRef>
                  <c:f>'Results Summary'!$C$89</c:f>
                  <c:strCache>
                    <c:ptCount val="1"/>
                    <c:pt idx="0">
                      <c:v>1.29</c:v>
                    </c:pt>
                  </c:strCache>
                </c:strRef>
              </c:tx>
              <c:dLblPos val="ctr"/>
              <c:showVal val="1"/>
            </c:dLbl>
            <c:dLbl>
              <c:idx val="1"/>
              <c:layout>
                <c:manualLayout>
                  <c:x val="3.5717707662264239E-4"/>
                  <c:y val="-4.8636784008200533E-2"/>
                </c:manualLayout>
              </c:layout>
              <c:tx>
                <c:strRef>
                  <c:f>'Results Summary'!$D$89</c:f>
                  <c:strCache>
                    <c:ptCount val="1"/>
                    <c:pt idx="0">
                      <c:v>0.52</c:v>
                    </c:pt>
                  </c:strCache>
                </c:strRef>
              </c:tx>
              <c:dLblPos val="ctr"/>
              <c:showVal val="1"/>
            </c:dLbl>
            <c:dLbl>
              <c:idx val="2"/>
              <c:layout>
                <c:manualLayout>
                  <c:x val="-2.8314451896914217E-4"/>
                  <c:y val="-9.2642469410598935E-2"/>
                </c:manualLayout>
              </c:layout>
              <c:tx>
                <c:strRef>
                  <c:f>'Bottoms Up Summary'!#REF!</c:f>
                  <c:strCache>
                    <c:ptCount val="1"/>
                    <c:pt idx="0">
                      <c:v>#REF!</c:v>
                    </c:pt>
                  </c:strCache>
                </c:strRef>
              </c:tx>
              <c:dLblPos val="ctr"/>
              <c:showVal val="1"/>
            </c:dLbl>
            <c:dLbl>
              <c:idx val="3"/>
              <c:layout>
                <c:manualLayout>
                  <c:x val="6.9585293612729293E-4"/>
                  <c:y val="-9.4322530096404525E-2"/>
                </c:manualLayout>
              </c:layout>
              <c:tx>
                <c:strRef>
                  <c:f>'Bottoms Up Summary'!#REF!</c:f>
                  <c:strCache>
                    <c:ptCount val="1"/>
                    <c:pt idx="0">
                      <c:v>#REF!</c:v>
                    </c:pt>
                  </c:strCache>
                </c:strRef>
              </c:tx>
              <c:dLblPos val="ctr"/>
              <c:showVal val="1"/>
            </c:dLbl>
            <c:dLbl>
              <c:idx val="4"/>
              <c:layout>
                <c:manualLayout>
                  <c:x val="8.5092794362274268E-4"/>
                  <c:y val="-5.0942919252508434E-2"/>
                </c:manualLayout>
              </c:layout>
              <c:tx>
                <c:strRef>
                  <c:f>'Bottoms Up Summary'!#REF!</c:f>
                  <c:strCache>
                    <c:ptCount val="1"/>
                    <c:pt idx="0">
                      <c:v>#REF!</c:v>
                    </c:pt>
                  </c:strCache>
                </c:strRef>
              </c:tx>
              <c:dLblPos val="ctr"/>
              <c:showVal val="1"/>
            </c:dLbl>
            <c:dLbl>
              <c:idx val="5"/>
              <c:layout>
                <c:manualLayout>
                  <c:x val="-1.9623471928353242E-3"/>
                  <c:y val="-5.9802557383379126E-2"/>
                </c:manualLayout>
              </c:layout>
              <c:tx>
                <c:strRef>
                  <c:f>'Bottoms Up Summary'!#REF!</c:f>
                  <c:strCache>
                    <c:ptCount val="1"/>
                    <c:pt idx="0">
                      <c:v>#REF!</c:v>
                    </c:pt>
                  </c:strCache>
                </c:strRef>
              </c:tx>
              <c:dLblPos val="ctr"/>
              <c:showVal val="1"/>
            </c:dLbl>
            <c:spPr>
              <a:solidFill>
                <a:schemeClr val="bg1"/>
              </a:solidFill>
            </c:spPr>
            <c:txPr>
              <a:bodyPr/>
              <a:lstStyle/>
              <a:p>
                <a:pPr>
                  <a:defRPr sz="2000"/>
                </a:pPr>
                <a:endParaRPr lang="en-US"/>
              </a:p>
            </c:txPr>
            <c:dLblPos val="ctr"/>
            <c:showVal val="1"/>
          </c:dLbls>
          <c:cat>
            <c:strRef>
              <c:f>'Results Summary'!$C$52:$D$52</c:f>
              <c:strCache>
                <c:ptCount val="2"/>
                <c:pt idx="0">
                  <c:v>2012</c:v>
                </c:pt>
                <c:pt idx="1">
                  <c:v>2020 Adv. Concept</c:v>
                </c:pt>
              </c:strCache>
            </c:strRef>
          </c:cat>
          <c:val>
            <c:numRef>
              <c:f>'Results Summary'!$C$83:$D$83</c:f>
              <c:numCache>
                <c:formatCode>0.000</c:formatCode>
                <c:ptCount val="2"/>
                <c:pt idx="0">
                  <c:v>3.4758620689655179E-3</c:v>
                </c:pt>
                <c:pt idx="1">
                  <c:v>3.1609756097560975E-3</c:v>
                </c:pt>
              </c:numCache>
            </c:numRef>
          </c:val>
        </c:ser>
        <c:ser>
          <c:idx val="5"/>
          <c:order val="29"/>
          <c:tx>
            <c:strRef>
              <c:f>'Results Summary'!$B$84</c:f>
              <c:strCache>
                <c:ptCount val="1"/>
                <c:pt idx="0">
                  <c:v>Packaging</c:v>
                </c:pt>
              </c:strCache>
            </c:strRef>
          </c:tx>
          <c:spPr>
            <a:solidFill>
              <a:schemeClr val="accent4">
                <a:lumMod val="40000"/>
                <a:lumOff val="60000"/>
              </a:schemeClr>
            </a:solidFill>
          </c:spPr>
          <c:errBars>
            <c:errBarType val="both"/>
            <c:errValType val="cust"/>
            <c:plus>
              <c:numRef>
                <c:f>'Results Summary'!$AF$38:$AF$39</c:f>
                <c:numCache>
                  <c:formatCode>General</c:formatCode>
                  <c:ptCount val="2"/>
                  <c:pt idx="0">
                    <c:v>6.4635902977377771E-2</c:v>
                  </c:pt>
                  <c:pt idx="1">
                    <c:v>5.2266162558574553E-2</c:v>
                  </c:pt>
                </c:numCache>
              </c:numRef>
            </c:plus>
            <c:minus>
              <c:numRef>
                <c:f>'Results Summary'!$AG$38:$AG$39</c:f>
                <c:numCache>
                  <c:formatCode>General</c:formatCode>
                  <c:ptCount val="2"/>
                  <c:pt idx="0">
                    <c:v>6.4635902977377771E-2</c:v>
                  </c:pt>
                  <c:pt idx="1">
                    <c:v>5.2266162558574553E-2</c:v>
                  </c:pt>
                </c:numCache>
              </c:numRef>
            </c:minus>
          </c:errBars>
          <c:cat>
            <c:strRef>
              <c:f>'Results Summary'!$C$52:$D$52</c:f>
              <c:strCache>
                <c:ptCount val="2"/>
                <c:pt idx="0">
                  <c:v>2012</c:v>
                </c:pt>
                <c:pt idx="1">
                  <c:v>2020 Adv. Concept</c:v>
                </c:pt>
              </c:strCache>
            </c:strRef>
          </c:cat>
          <c:val>
            <c:numRef>
              <c:f>'Results Summary'!$C$84:$D$84</c:f>
              <c:numCache>
                <c:formatCode>0.000</c:formatCode>
                <c:ptCount val="2"/>
                <c:pt idx="0">
                  <c:v>3.1034482758620693E-3</c:v>
                </c:pt>
                <c:pt idx="1">
                  <c:v>1.98109756097561E-3</c:v>
                </c:pt>
              </c:numCache>
            </c:numRef>
          </c:val>
        </c:ser>
        <c:ser>
          <c:idx val="26"/>
          <c:order val="30"/>
          <c:spPr>
            <a:noFill/>
          </c:spPr>
          <c:cat>
            <c:strRef>
              <c:f>'Results Summary'!$C$52:$D$52</c:f>
              <c:strCache>
                <c:ptCount val="2"/>
                <c:pt idx="0">
                  <c:v>2012</c:v>
                </c:pt>
                <c:pt idx="1">
                  <c:v>2020 Adv. Concept</c:v>
                </c:pt>
              </c:strCache>
            </c:strRef>
          </c:cat>
          <c:val>
            <c:numLit>
              <c:formatCode>General</c:formatCode>
              <c:ptCount val="1"/>
              <c:pt idx="0">
                <c:v>0</c:v>
              </c:pt>
            </c:numLit>
          </c:val>
        </c:ser>
        <c:gapWidth val="228"/>
        <c:overlap val="100"/>
        <c:axId val="108774528"/>
        <c:axId val="108776064"/>
      </c:barChart>
      <c:catAx>
        <c:axId val="108774528"/>
        <c:scaling>
          <c:orientation val="minMax"/>
        </c:scaling>
        <c:axPos val="b"/>
        <c:numFmt formatCode="General" sourceLinked="1"/>
        <c:majorTickMark val="none"/>
        <c:tickLblPos val="nextTo"/>
        <c:txPr>
          <a:bodyPr/>
          <a:lstStyle/>
          <a:p>
            <a:pPr>
              <a:defRPr sz="2200"/>
            </a:pPr>
            <a:endParaRPr lang="en-US"/>
          </a:p>
        </c:txPr>
        <c:crossAx val="108776064"/>
        <c:crosses val="autoZero"/>
        <c:auto val="1"/>
        <c:lblAlgn val="ctr"/>
        <c:lblOffset val="100"/>
      </c:catAx>
      <c:valAx>
        <c:axId val="108776064"/>
        <c:scaling>
          <c:orientation val="minMax"/>
          <c:max val="1.5"/>
          <c:min val="0"/>
        </c:scaling>
        <c:axPos val="l"/>
        <c:majorGridlines>
          <c:spPr>
            <a:ln w="9525">
              <a:solidFill>
                <a:schemeClr val="bg1">
                  <a:lumMod val="50000"/>
                </a:schemeClr>
              </a:solidFill>
              <a:prstDash val="dash"/>
            </a:ln>
          </c:spPr>
        </c:majorGridlines>
        <c:title>
          <c:tx>
            <c:rich>
              <a:bodyPr rot="-5400000" vert="horz"/>
              <a:lstStyle/>
              <a:p>
                <a:pPr>
                  <a:defRPr sz="2800"/>
                </a:pPr>
                <a:r>
                  <a:rPr lang="en-US" sz="2800"/>
                  <a:t>Cost [US$/W</a:t>
                </a:r>
                <a:r>
                  <a:rPr lang="en-US" sz="2800" baseline="-25000"/>
                  <a:t>p</a:t>
                </a:r>
                <a:r>
                  <a:rPr lang="en-US" sz="2800"/>
                  <a:t>]</a:t>
                </a:r>
              </a:p>
            </c:rich>
          </c:tx>
        </c:title>
        <c:numFmt formatCode="0.00" sourceLinked="0"/>
        <c:tickLblPos val="nextTo"/>
        <c:txPr>
          <a:bodyPr/>
          <a:lstStyle/>
          <a:p>
            <a:pPr>
              <a:defRPr sz="2200"/>
            </a:pPr>
            <a:endParaRPr lang="en-US"/>
          </a:p>
        </c:txPr>
        <c:crossAx val="108774528"/>
        <c:crosses val="autoZero"/>
        <c:crossBetween val="between"/>
        <c:majorUnit val="0.25"/>
      </c:valAx>
      <c:spPr>
        <a:ln w="9525">
          <a:solidFill>
            <a:sysClr val="window" lastClr="FFFFFF">
              <a:lumMod val="50000"/>
            </a:sysClr>
          </a:solidFill>
        </a:ln>
      </c:spPr>
    </c:plotArea>
    <c:legend>
      <c:legendPos val="r"/>
      <c:legendEntry>
        <c:idx val="0"/>
        <c:txPr>
          <a:bodyPr/>
          <a:lstStyle/>
          <a:p>
            <a:pPr>
              <a:defRPr sz="1800">
                <a:solidFill>
                  <a:schemeClr val="bg1"/>
                </a:solidFill>
              </a:defRPr>
            </a:pPr>
            <a:endParaRPr lang="en-US"/>
          </a:p>
        </c:txPr>
      </c:legendEntry>
      <c:legendEntry>
        <c:idx val="13"/>
        <c:txPr>
          <a:bodyPr/>
          <a:lstStyle/>
          <a:p>
            <a:pPr>
              <a:defRPr sz="1800">
                <a:solidFill>
                  <a:schemeClr val="bg1"/>
                </a:solidFill>
              </a:defRPr>
            </a:pPr>
            <a:endParaRPr lang="en-US"/>
          </a:p>
        </c:txPr>
      </c:legendEntry>
      <c:legendEntry>
        <c:idx val="22"/>
        <c:txPr>
          <a:bodyPr/>
          <a:lstStyle/>
          <a:p>
            <a:pPr>
              <a:defRPr sz="1800">
                <a:solidFill>
                  <a:schemeClr val="bg1"/>
                </a:solidFill>
              </a:defRPr>
            </a:pPr>
            <a:endParaRPr lang="en-US"/>
          </a:p>
        </c:txPr>
      </c:legendEntry>
      <c:layout>
        <c:manualLayout>
          <c:xMode val="edge"/>
          <c:yMode val="edge"/>
          <c:x val="0.77530315728085664"/>
          <c:y val="8.7231124626987719E-2"/>
          <c:w val="0.18818214543634387"/>
          <c:h val="0.83199193323490683"/>
        </c:manualLayout>
      </c:layout>
      <c:txPr>
        <a:bodyPr/>
        <a:lstStyle/>
        <a:p>
          <a:pPr>
            <a:defRPr sz="1800"/>
          </a:pPr>
          <a:endParaRPr lang="en-US"/>
        </a:p>
      </c:txPr>
    </c:legend>
    <c:plotVisOnly val="1"/>
  </c:chart>
  <c:spPr>
    <a:ln>
      <a:noFill/>
    </a:ln>
  </c:spPr>
  <c:printSettings>
    <c:headerFooter/>
    <c:pageMargins b="0.75000000000000611" l="0.70000000000000062" r="0.70000000000000062" t="0.75000000000000611"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2333916593759354"/>
          <c:y val="0"/>
        </c:manualLayout>
      </c:layout>
    </c:title>
    <c:plotArea>
      <c:layout>
        <c:manualLayout>
          <c:layoutTarget val="inner"/>
          <c:xMode val="edge"/>
          <c:yMode val="edge"/>
          <c:x val="0.11121463983668722"/>
          <c:y val="9.4153214213498759E-2"/>
          <c:w val="0.87759965826420383"/>
          <c:h val="0.59160285502997145"/>
        </c:manualLayout>
      </c:layout>
      <c:barChart>
        <c:barDir val="col"/>
        <c:grouping val="clustered"/>
        <c:ser>
          <c:idx val="2"/>
          <c:order val="0"/>
          <c:cat>
            <c:strRef>
              <c:f>'2012 Domestic'!$B$28:$B$47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'2012 Domestic'!$H$28:$H$47</c:f>
              <c:numCache>
                <c:formatCode>0.000</c:formatCode>
                <c:ptCount val="20"/>
                <c:pt idx="0">
                  <c:v>0.22872386206896561</c:v>
                </c:pt>
                <c:pt idx="1">
                  <c:v>0.18081540573769869</c:v>
                </c:pt>
                <c:pt idx="2">
                  <c:v>5.3564503388651513E-2</c:v>
                </c:pt>
                <c:pt idx="3">
                  <c:v>0.1357945082301501</c:v>
                </c:pt>
                <c:pt idx="4">
                  <c:v>5.1310585537598104E-2</c:v>
                </c:pt>
                <c:pt idx="5">
                  <c:v>0.11081283865387735</c:v>
                </c:pt>
                <c:pt idx="6">
                  <c:v>2.944108118851238E-2</c:v>
                </c:pt>
                <c:pt idx="7">
                  <c:v>6.4116132366093634E-2</c:v>
                </c:pt>
                <c:pt idx="8">
                  <c:v>7.3275862068965525E-2</c:v>
                </c:pt>
                <c:pt idx="9">
                  <c:v>5.9997421887852433E-2</c:v>
                </c:pt>
                <c:pt idx="10">
                  <c:v>3.8793103448275863E-2</c:v>
                </c:pt>
                <c:pt idx="11">
                  <c:v>0.04</c:v>
                </c:pt>
                <c:pt idx="12">
                  <c:v>4.5398898184044079E-2</c:v>
                </c:pt>
                <c:pt idx="13">
                  <c:v>4.9568965517241388E-2</c:v>
                </c:pt>
                <c:pt idx="14">
                  <c:v>8.3063051735746685E-2</c:v>
                </c:pt>
                <c:pt idx="15">
                  <c:v>3.2327586206896554E-2</c:v>
                </c:pt>
                <c:pt idx="16">
                  <c:v>3.1034482758620693E-3</c:v>
                </c:pt>
                <c:pt idx="17">
                  <c:v>1.2610805051123355E-2</c:v>
                </c:pt>
                <c:pt idx="18">
                  <c:v>0</c:v>
                </c:pt>
                <c:pt idx="19">
                  <c:v>0</c:v>
                </c:pt>
              </c:numCache>
            </c:numRef>
          </c:val>
        </c:ser>
        <c:gapWidth val="50"/>
        <c:overlap val="8"/>
        <c:axId val="109077632"/>
        <c:axId val="109079168"/>
      </c:barChart>
      <c:catAx>
        <c:axId val="109077632"/>
        <c:scaling>
          <c:orientation val="minMax"/>
        </c:scaling>
        <c:axPos val="b"/>
        <c:tickLblPos val="nextTo"/>
        <c:txPr>
          <a:bodyPr/>
          <a:lstStyle/>
          <a:p>
            <a:pPr>
              <a:defRPr sz="1800" b="0"/>
            </a:pPr>
            <a:endParaRPr lang="en-US"/>
          </a:p>
        </c:txPr>
        <c:crossAx val="109079168"/>
        <c:crosses val="autoZero"/>
        <c:auto val="1"/>
        <c:lblAlgn val="ctr"/>
        <c:lblOffset val="20"/>
        <c:tickMarkSkip val="1"/>
      </c:catAx>
      <c:valAx>
        <c:axId val="109079168"/>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109077632"/>
        <c:crosses val="autoZero"/>
        <c:crossBetween val="between"/>
      </c:valAx>
      <c:spPr>
        <a:ln w="3175">
          <a:solidFill>
            <a:schemeClr val="bg1">
              <a:lumMod val="50000"/>
            </a:schemeClr>
          </a:solidFill>
        </a:ln>
      </c:spPr>
    </c:plotArea>
    <c:plotVisOnly val="1"/>
  </c:chart>
  <c:spPr>
    <a:ln>
      <a:noFill/>
    </a:ln>
  </c:spPr>
  <c:printSettings>
    <c:headerFooter/>
    <c:pageMargins b="0.75000000000000999" l="0.70000000000000062" r="0.70000000000000062" t="0.750000000000009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6332772901493617"/>
          <c:y val="0.14586640477548013"/>
          <c:w val="0.77700263139323145"/>
          <c:h val="0.72901971757662565"/>
        </c:manualLayout>
      </c:layout>
      <c:scatterChart>
        <c:scatterStyle val="smoothMarker"/>
        <c:ser>
          <c:idx val="0"/>
          <c:order val="0"/>
          <c:spPr>
            <a:ln>
              <a:noFill/>
            </a:ln>
          </c:spPr>
          <c:marker>
            <c:symbol val="diamond"/>
            <c:size val="16"/>
            <c:spPr>
              <a:solidFill>
                <a:srgbClr val="21FF0C"/>
              </a:solidFill>
              <a:ln>
                <a:noFill/>
              </a:ln>
            </c:spPr>
          </c:marker>
          <c:dPt>
            <c:idx val="0"/>
            <c:marker>
              <c:spPr>
                <a:solidFill>
                  <a:srgbClr val="FF0D0D"/>
                </a:solidFill>
                <a:ln>
                  <a:noFill/>
                </a:ln>
              </c:spPr>
            </c:marker>
          </c:dPt>
          <c:dPt>
            <c:idx val="1"/>
            <c:marker>
              <c:spPr>
                <a:solidFill>
                  <a:srgbClr val="FF0D0D"/>
                </a:solidFill>
                <a:ln>
                  <a:noFill/>
                </a:ln>
              </c:spPr>
            </c:marker>
          </c:dPt>
          <c:dPt>
            <c:idx val="2"/>
            <c:marker>
              <c:spPr>
                <a:solidFill>
                  <a:srgbClr val="051AFF"/>
                </a:solidFill>
                <a:ln>
                  <a:noFill/>
                </a:ln>
              </c:spPr>
            </c:marker>
          </c:dPt>
          <c:dPt>
            <c:idx val="3"/>
            <c:marker>
              <c:spPr>
                <a:solidFill>
                  <a:srgbClr val="051AFF"/>
                </a:solidFill>
                <a:ln>
                  <a:noFill/>
                </a:ln>
              </c:spPr>
            </c:marker>
          </c:dPt>
          <c:dPt>
            <c:idx val="4"/>
            <c:marker>
              <c:spPr>
                <a:solidFill>
                  <a:srgbClr val="051AFF"/>
                </a:solidFill>
                <a:ln>
                  <a:noFill/>
                </a:ln>
              </c:spPr>
            </c:marker>
          </c:dPt>
          <c:dPt>
            <c:idx val="5"/>
            <c:marker>
              <c:spPr>
                <a:solidFill>
                  <a:srgbClr val="051AFF"/>
                </a:solidFill>
                <a:ln>
                  <a:noFill/>
                </a:ln>
              </c:spPr>
            </c:marker>
          </c:dPt>
          <c:dPt>
            <c:idx val="6"/>
            <c:marker>
              <c:spPr>
                <a:solidFill>
                  <a:srgbClr val="92D050"/>
                </a:solidFill>
                <a:ln>
                  <a:noFill/>
                </a:ln>
              </c:spPr>
            </c:marker>
          </c:dPt>
          <c:dPt>
            <c:idx val="7"/>
            <c:marker>
              <c:spPr>
                <a:solidFill>
                  <a:srgbClr val="92D050"/>
                </a:solidFill>
                <a:ln>
                  <a:noFill/>
                </a:ln>
              </c:spPr>
            </c:marker>
          </c:dPt>
          <c:dPt>
            <c:idx val="8"/>
            <c:marker>
              <c:spPr>
                <a:solidFill>
                  <a:srgbClr val="92D050"/>
                </a:solidFill>
                <a:ln>
                  <a:noFill/>
                </a:ln>
              </c:spPr>
            </c:marker>
          </c:dPt>
          <c:dPt>
            <c:idx val="9"/>
            <c:marker>
              <c:spPr>
                <a:solidFill>
                  <a:srgbClr val="92D050"/>
                </a:solidFill>
                <a:ln>
                  <a:noFill/>
                </a:ln>
              </c:spPr>
            </c:marker>
          </c:dPt>
          <c:dPt>
            <c:idx val="10"/>
            <c:marker>
              <c:spPr>
                <a:solidFill>
                  <a:srgbClr val="92D050"/>
                </a:solidFill>
                <a:ln>
                  <a:noFill/>
                </a:ln>
              </c:spPr>
            </c:marker>
          </c:dPt>
          <c:dPt>
            <c:idx val="11"/>
            <c:marker>
              <c:spPr>
                <a:solidFill>
                  <a:srgbClr val="92D050"/>
                </a:solidFill>
                <a:ln>
                  <a:noFill/>
                </a:ln>
              </c:spPr>
            </c:marker>
          </c:dPt>
          <c:dPt>
            <c:idx val="12"/>
            <c:marker>
              <c:spPr>
                <a:solidFill>
                  <a:srgbClr val="92D050"/>
                </a:solidFill>
                <a:ln>
                  <a:noFill/>
                </a:ln>
              </c:spPr>
            </c:marker>
          </c:dPt>
          <c:dPt>
            <c:idx val="13"/>
            <c:marker>
              <c:spPr>
                <a:solidFill>
                  <a:srgbClr val="92D050"/>
                </a:solidFill>
                <a:ln>
                  <a:noFill/>
                </a:ln>
              </c:spPr>
            </c:marker>
          </c:dPt>
          <c:dPt>
            <c:idx val="14"/>
            <c:marker>
              <c:spPr>
                <a:solidFill>
                  <a:srgbClr val="92D050"/>
                </a:solidFill>
                <a:ln>
                  <a:noFill/>
                </a:ln>
              </c:spPr>
            </c:marker>
          </c:dPt>
          <c:dPt>
            <c:idx val="15"/>
            <c:marker>
              <c:spPr>
                <a:solidFill>
                  <a:srgbClr val="92D050"/>
                </a:solidFill>
                <a:ln>
                  <a:noFill/>
                </a:ln>
              </c:spPr>
            </c:marker>
          </c:dPt>
          <c:dPt>
            <c:idx val="16"/>
            <c:marker>
              <c:spPr>
                <a:solidFill>
                  <a:srgbClr val="92D050"/>
                </a:solidFill>
                <a:ln>
                  <a:noFill/>
                </a:ln>
              </c:spPr>
            </c:marker>
          </c:dPt>
          <c:dPt>
            <c:idx val="17"/>
            <c:marker>
              <c:spPr>
                <a:solidFill>
                  <a:srgbClr val="92D050"/>
                </a:solidFill>
                <a:ln>
                  <a:noFill/>
                </a:ln>
              </c:spPr>
            </c:marker>
          </c:dPt>
          <c:dPt>
            <c:idx val="18"/>
            <c:marker>
              <c:spPr>
                <a:solidFill>
                  <a:srgbClr val="92D050"/>
                </a:solidFill>
                <a:ln>
                  <a:noFill/>
                </a:ln>
              </c:spPr>
            </c:marker>
          </c:dPt>
          <c:dLbls>
            <c:dLbl>
              <c:idx val="0"/>
              <c:delete val="1"/>
            </c:dLbl>
            <c:dLbl>
              <c:idx val="1"/>
              <c:tx>
                <c:strRef>
                  <c:f>'2012 Domestic'!$T$12</c:f>
                  <c:strCache>
                    <c:ptCount val="1"/>
                    <c:pt idx="0">
                      <c:v>Yield</c:v>
                    </c:pt>
                  </c:strCache>
                </c:strRef>
              </c:tx>
              <c:dLblPos val="r"/>
              <c:showVal val="1"/>
            </c:dLbl>
            <c:dLbl>
              <c:idx val="2"/>
              <c:tx>
                <c:strRef>
                  <c:f>'2012 Domestic'!$T$13</c:f>
                  <c:strCache>
                    <c:ptCount val="1"/>
                    <c:pt idx="0">
                      <c:v>Silicon Feedstock</c:v>
                    </c:pt>
                  </c:strCache>
                </c:strRef>
              </c:tx>
              <c:dLblPos val="r"/>
              <c:showVal val="1"/>
            </c:dLbl>
            <c:dLbl>
              <c:idx val="3"/>
              <c:delete val="1"/>
            </c:dLbl>
            <c:dLbl>
              <c:idx val="4"/>
              <c:layout>
                <c:manualLayout>
                  <c:x val="0"/>
                  <c:y val="-3.3844924687048352E-3"/>
                </c:manualLayout>
              </c:layout>
              <c:tx>
                <c:strRef>
                  <c:f>'2012 Domestic'!$T$15</c:f>
                  <c:strCache>
                    <c:ptCount val="1"/>
                    <c:pt idx="0">
                      <c:v>Labor</c:v>
                    </c:pt>
                  </c:strCache>
                </c:strRef>
              </c:tx>
              <c:dLblPos val="r"/>
              <c:showVal val="1"/>
            </c:dLbl>
            <c:dLbl>
              <c:idx val="5"/>
              <c:layout>
                <c:manualLayout>
                  <c:x val="3.8547006506249116E-3"/>
                  <c:y val="1.3200186866623565E-2"/>
                </c:manualLayout>
              </c:layout>
              <c:tx>
                <c:strRef>
                  <c:f>'2012 Domestic'!$T$16</c:f>
                  <c:strCache>
                    <c:ptCount val="1"/>
                    <c:pt idx="0">
                      <c:v>Metal Paste</c:v>
                    </c:pt>
                  </c:strCache>
                </c:strRef>
              </c:tx>
              <c:dLblPos val="r"/>
              <c:showVal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spPr>
              <a:solidFill>
                <a:sysClr val="window" lastClr="FFFFFF"/>
              </a:solidFill>
            </c:spPr>
            <c:txPr>
              <a:bodyPr/>
              <a:lstStyle/>
              <a:p>
                <a:pPr>
                  <a:defRPr sz="1800"/>
                </a:pPr>
                <a:endParaRPr lang="en-US"/>
              </a:p>
            </c:txPr>
            <c:showVal val="1"/>
          </c:dLbls>
          <c:xVal>
            <c:numRef>
              <c:f>'2012 Domestic'!$AA$11:$AA$27</c:f>
              <c:numCache>
                <c:formatCode>General</c:formatCode>
                <c:ptCount val="17"/>
                <c:pt idx="0">
                  <c:v>0.62880606556109386</c:v>
                </c:pt>
                <c:pt idx="1">
                  <c:v>8.1463259898098883E-2</c:v>
                </c:pt>
                <c:pt idx="2">
                  <c:v>0.22872386206896556</c:v>
                </c:pt>
                <c:pt idx="3">
                  <c:v>0.20117016638242768</c:v>
                </c:pt>
                <c:pt idx="4">
                  <c:v>0.10378371777799855</c:v>
                </c:pt>
                <c:pt idx="5">
                  <c:v>9.0797796368088157E-2</c:v>
                </c:pt>
                <c:pt idx="6">
                  <c:v>6.8822068965517236E-2</c:v>
                </c:pt>
                <c:pt idx="7">
                  <c:v>6.4116132366093703E-2</c:v>
                </c:pt>
                <c:pt idx="8">
                  <c:v>6.1448275862068913E-2</c:v>
                </c:pt>
                <c:pt idx="9">
                  <c:v>5.3564503388651596E-2</c:v>
                </c:pt>
                <c:pt idx="10">
                  <c:v>5.3255172413793073E-2</c:v>
                </c:pt>
                <c:pt idx="11">
                  <c:v>5.0577577172775223E-2</c:v>
                </c:pt>
                <c:pt idx="12">
                  <c:v>3.7329545454545476E-2</c:v>
                </c:pt>
                <c:pt idx="13">
                  <c:v>3.6868965517241392E-2</c:v>
                </c:pt>
                <c:pt idx="14">
                  <c:v>3.1953103448275844E-2</c:v>
                </c:pt>
                <c:pt idx="15">
                  <c:v>2.9441081188512408E-2</c:v>
                </c:pt>
                <c:pt idx="16">
                  <c:v>1.2610805051123331E-2</c:v>
                </c:pt>
              </c:numCache>
            </c:numRef>
          </c:xVal>
          <c:yVal>
            <c:numRef>
              <c:f>'2012 Domestic'!$W$11:$W$27</c:f>
              <c:numCache>
                <c:formatCode>General</c:formatCode>
                <c:ptCount val="17"/>
                <c:pt idx="0">
                  <c:v>0.9579288723022118</c:v>
                </c:pt>
                <c:pt idx="1">
                  <c:v>0.65869586994848539</c:v>
                </c:pt>
                <c:pt idx="2">
                  <c:v>0.17693251856404119</c:v>
                </c:pt>
                <c:pt idx="3">
                  <c:v>0.15561797477543834</c:v>
                </c:pt>
                <c:pt idx="4">
                  <c:v>8.0283335574593981E-2</c:v>
                </c:pt>
                <c:pt idx="5">
                  <c:v>7.0237895802175529E-2</c:v>
                </c:pt>
                <c:pt idx="6">
                  <c:v>5.3238266810939558E-2</c:v>
                </c:pt>
                <c:pt idx="7">
                  <c:v>4.959792422838058E-2</c:v>
                </c:pt>
                <c:pt idx="8">
                  <c:v>4.753416679548083E-2</c:v>
                </c:pt>
                <c:pt idx="9">
                  <c:v>4.143556515903795E-2</c:v>
                </c:pt>
                <c:pt idx="10">
                  <c:v>4.1196277889418438E-2</c:v>
                </c:pt>
                <c:pt idx="11">
                  <c:v>3.9124986921335529E-2</c:v>
                </c:pt>
                <c:pt idx="12">
                  <c:v>2.8876788081393719E-2</c:v>
                </c:pt>
                <c:pt idx="13">
                  <c:v>2.8520500077293651E-2</c:v>
                </c:pt>
                <c:pt idx="14">
                  <c:v>2.4717766733654497E-2</c:v>
                </c:pt>
                <c:pt idx="15">
                  <c:v>2.2774557043639058E-2</c:v>
                </c:pt>
                <c:pt idx="16">
                  <c:v>9.7552633058605748E-3</c:v>
                </c:pt>
              </c:numCache>
            </c:numRef>
          </c:yVal>
        </c:ser>
        <c:axId val="109189376"/>
        <c:axId val="109195648"/>
      </c:scatterChart>
      <c:valAx>
        <c:axId val="109189376"/>
        <c:scaling>
          <c:orientation val="minMax"/>
          <c:max val="0.75000000000000377"/>
          <c:min val="0"/>
        </c:scaling>
        <c:axPos val="b"/>
        <c:majorGridlines>
          <c:spPr>
            <a:ln>
              <a:prstDash val="dash"/>
            </a:ln>
          </c:spPr>
        </c:majorGridlines>
        <c:title>
          <c:tx>
            <c:rich>
              <a:bodyPr/>
              <a:lstStyle/>
              <a:p>
                <a:pPr>
                  <a:defRPr sz="2200"/>
                </a:pPr>
                <a:r>
                  <a:rPr lang="en-US" sz="2200"/>
                  <a:t>Maximum Cost Savings Available [US$/W</a:t>
                </a:r>
                <a:r>
                  <a:rPr lang="en-US" sz="2200" baseline="-25000"/>
                  <a:t>p</a:t>
                </a:r>
                <a:r>
                  <a:rPr lang="en-US" sz="2200"/>
                  <a:t>]</a:t>
                </a:r>
              </a:p>
            </c:rich>
          </c:tx>
          <c:layout>
            <c:manualLayout>
              <c:xMode val="edge"/>
              <c:yMode val="edge"/>
              <c:x val="0.31655851910888805"/>
              <c:y val="0.94038066195389214"/>
            </c:manualLayout>
          </c:layout>
        </c:title>
        <c:numFmt formatCode="General" sourceLinked="1"/>
        <c:tickLblPos val="nextTo"/>
        <c:txPr>
          <a:bodyPr/>
          <a:lstStyle/>
          <a:p>
            <a:pPr>
              <a:defRPr sz="2000"/>
            </a:pPr>
            <a:endParaRPr lang="en-US"/>
          </a:p>
        </c:txPr>
        <c:crossAx val="109195648"/>
        <c:crossesAt val="1.0000000000000041E-3"/>
        <c:crossBetween val="midCat"/>
        <c:majorUnit val="0.25"/>
      </c:valAx>
      <c:valAx>
        <c:axId val="109195648"/>
        <c:scaling>
          <c:logBase val="10"/>
          <c:orientation val="minMax"/>
          <c:min val="1.0000000000000005E-2"/>
        </c:scaling>
        <c:axPos val="l"/>
        <c:majorGridlines>
          <c:spPr>
            <a:ln>
              <a:prstDash val="dash"/>
            </a:ln>
          </c:spPr>
        </c:majorGridlines>
        <c:minorGridlines>
          <c:spPr>
            <a:ln>
              <a:solidFill>
                <a:sysClr val="window" lastClr="FFFFFF">
                  <a:lumMod val="50000"/>
                </a:sysClr>
              </a:solidFill>
              <a:prstDash val="dash"/>
            </a:ln>
          </c:spPr>
        </c:minorGridlines>
        <c:numFmt formatCode="General" sourceLinked="1"/>
        <c:tickLblPos val="nextTo"/>
        <c:txPr>
          <a:bodyPr/>
          <a:lstStyle/>
          <a:p>
            <a:pPr>
              <a:defRPr sz="2000"/>
            </a:pPr>
            <a:endParaRPr lang="en-US"/>
          </a:p>
        </c:txPr>
        <c:crossAx val="109189376"/>
        <c:crossesAt val="0"/>
        <c:crossBetween val="midCat"/>
      </c:valAx>
      <c:spPr>
        <a:noFill/>
        <a:ln w="9525">
          <a:solidFill>
            <a:sysClr val="window" lastClr="FFFFFF">
              <a:lumMod val="50000"/>
            </a:sysClr>
          </a:solidFill>
        </a:ln>
      </c:spPr>
    </c:plotArea>
    <c:plotVisOnly val="1"/>
  </c:chart>
  <c:spPr>
    <a:ln>
      <a:noFill/>
    </a:ln>
  </c:spPr>
  <c:printSettings>
    <c:headerFooter/>
    <c:pageMargins b="0.75000000000000455" l="0.70000000000000062" r="0.70000000000000062" t="0.75000000000000455" header="0.30000000000000032" footer="0.30000000000000032"/>
    <c:pageSetup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2333916593759376"/>
          <c:y val="0"/>
        </c:manualLayout>
      </c:layout>
    </c:title>
    <c:plotArea>
      <c:layout>
        <c:manualLayout>
          <c:layoutTarget val="inner"/>
          <c:xMode val="edge"/>
          <c:yMode val="edge"/>
          <c:x val="0.11121463983668722"/>
          <c:y val="9.4153214213498759E-2"/>
          <c:w val="0.87759965826420405"/>
          <c:h val="0.59160285502997145"/>
        </c:manualLayout>
      </c:layout>
      <c:barChart>
        <c:barDir val="col"/>
        <c:grouping val="clustered"/>
        <c:ser>
          <c:idx val="2"/>
          <c:order val="0"/>
          <c:cat>
            <c:strRef>
              <c:f>'2020 LOS Domestic'!$B$28:$B$47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'2020 LOS Domestic'!$H$28:$H$47</c:f>
              <c:numCache>
                <c:formatCode>0.000</c:formatCode>
                <c:ptCount val="20"/>
                <c:pt idx="0">
                  <c:v>6.650727272727272E-2</c:v>
                </c:pt>
                <c:pt idx="1">
                  <c:v>0.17735864062800738</c:v>
                </c:pt>
                <c:pt idx="2">
                  <c:v>4.7417779696482462E-2</c:v>
                </c:pt>
                <c:pt idx="3">
                  <c:v>9.3455269625360257E-2</c:v>
                </c:pt>
                <c:pt idx="4">
                  <c:v>5.023155228064171E-2</c:v>
                </c:pt>
                <c:pt idx="5">
                  <c:v>4.6789795799976795E-2</c:v>
                </c:pt>
                <c:pt idx="6">
                  <c:v>2.2663138159010006E-2</c:v>
                </c:pt>
                <c:pt idx="7">
                  <c:v>4.9355278657399575E-2</c:v>
                </c:pt>
                <c:pt idx="8">
                  <c:v>5.6406249999999984E-2</c:v>
                </c:pt>
                <c:pt idx="9">
                  <c:v>4.6184780128229921E-2</c:v>
                </c:pt>
                <c:pt idx="10">
                  <c:v>2.9862132352941169E-2</c:v>
                </c:pt>
                <c:pt idx="11">
                  <c:v>3.61E-2</c:v>
                </c:pt>
                <c:pt idx="12">
                  <c:v>3.8722589627567E-2</c:v>
                </c:pt>
                <c:pt idx="13">
                  <c:v>3.8157169117647056E-2</c:v>
                </c:pt>
                <c:pt idx="14">
                  <c:v>5.3790028628386943E-2</c:v>
                </c:pt>
                <c:pt idx="15">
                  <c:v>2.4885110294117645E-2</c:v>
                </c:pt>
                <c:pt idx="16">
                  <c:v>2.3889705882352941E-3</c:v>
                </c:pt>
                <c:pt idx="17">
                  <c:v>9.7075380941331162E-3</c:v>
                </c:pt>
                <c:pt idx="18">
                  <c:v>0</c:v>
                </c:pt>
                <c:pt idx="19">
                  <c:v>0</c:v>
                </c:pt>
              </c:numCache>
            </c:numRef>
          </c:val>
        </c:ser>
        <c:gapWidth val="50"/>
        <c:overlap val="8"/>
        <c:axId val="228314112"/>
        <c:axId val="227214080"/>
      </c:barChart>
      <c:catAx>
        <c:axId val="228314112"/>
        <c:scaling>
          <c:orientation val="minMax"/>
        </c:scaling>
        <c:axPos val="b"/>
        <c:tickLblPos val="nextTo"/>
        <c:txPr>
          <a:bodyPr/>
          <a:lstStyle/>
          <a:p>
            <a:pPr>
              <a:defRPr sz="1800" b="0"/>
            </a:pPr>
            <a:endParaRPr lang="en-US"/>
          </a:p>
        </c:txPr>
        <c:crossAx val="227214080"/>
        <c:crosses val="autoZero"/>
        <c:auto val="1"/>
        <c:lblAlgn val="ctr"/>
        <c:lblOffset val="20"/>
        <c:tickMarkSkip val="1"/>
      </c:catAx>
      <c:valAx>
        <c:axId val="227214080"/>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228314112"/>
        <c:crosses val="autoZero"/>
        <c:crossBetween val="between"/>
      </c:valAx>
      <c:spPr>
        <a:ln w="3175">
          <a:solidFill>
            <a:schemeClr val="bg1">
              <a:lumMod val="50000"/>
            </a:schemeClr>
          </a:solidFill>
        </a:ln>
      </c:spPr>
    </c:plotArea>
    <c:plotVisOnly val="1"/>
  </c:chart>
  <c:spPr>
    <a:ln>
      <a:noFill/>
    </a:ln>
  </c:spPr>
  <c:printSettings>
    <c:headerFooter/>
    <c:pageMargins b="0.75000000000001021" l="0.70000000000000062" r="0.70000000000000062" t="0.750000000000010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1407995560957924"/>
          <c:y val="0"/>
        </c:manualLayout>
      </c:layout>
    </c:title>
    <c:plotArea>
      <c:layout>
        <c:manualLayout>
          <c:layoutTarget val="inner"/>
          <c:xMode val="edge"/>
          <c:yMode val="edge"/>
          <c:x val="0.11121465940918462"/>
          <c:y val="7.6609319462310449E-2"/>
          <c:w val="0.87759965826420405"/>
          <c:h val="0.59160285502997145"/>
        </c:manualLayout>
      </c:layout>
      <c:barChart>
        <c:barDir val="col"/>
        <c:grouping val="clustered"/>
        <c:ser>
          <c:idx val="2"/>
          <c:order val="0"/>
          <c:cat>
            <c:strRef>
              <c:f>'2020 Advanced Domestic'!$B$28:$B$47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'2020 Advanced Domestic'!$H$28:$H$47</c:f>
              <c:numCache>
                <c:formatCode>0.000</c:formatCode>
                <c:ptCount val="20"/>
                <c:pt idx="0">
                  <c:v>1.4043428184281845E-2</c:v>
                </c:pt>
                <c:pt idx="1">
                  <c:v>0.14707789710615243</c:v>
                </c:pt>
                <c:pt idx="2">
                  <c:v>3.7677807328256138E-2</c:v>
                </c:pt>
                <c:pt idx="3">
                  <c:v>5.8570018291980053E-2</c:v>
                </c:pt>
                <c:pt idx="4">
                  <c:v>2.8104170395716839E-2</c:v>
                </c:pt>
                <c:pt idx="5">
                  <c:v>5.3519026314523502E-2</c:v>
                </c:pt>
                <c:pt idx="6">
                  <c:v>0</c:v>
                </c:pt>
                <c:pt idx="7">
                  <c:v>0</c:v>
                </c:pt>
                <c:pt idx="8">
                  <c:v>4.6775914634146334E-2</c:v>
                </c:pt>
                <c:pt idx="9">
                  <c:v>0</c:v>
                </c:pt>
                <c:pt idx="10">
                  <c:v>2.476371951219512E-2</c:v>
                </c:pt>
                <c:pt idx="11">
                  <c:v>3.61E-2</c:v>
                </c:pt>
                <c:pt idx="12">
                  <c:v>1.6697936210131333E-2</c:v>
                </c:pt>
                <c:pt idx="13">
                  <c:v>3.1642530487804882E-2</c:v>
                </c:pt>
                <c:pt idx="14">
                  <c:v>2.5708079559581321E-2</c:v>
                </c:pt>
                <c:pt idx="15">
                  <c:v>0</c:v>
                </c:pt>
                <c:pt idx="16">
                  <c:v>1.98109756097561E-3</c:v>
                </c:pt>
                <c:pt idx="17">
                  <c:v>0</c:v>
                </c:pt>
                <c:pt idx="18">
                  <c:v>0</c:v>
                </c:pt>
                <c:pt idx="19">
                  <c:v>0</c:v>
                </c:pt>
              </c:numCache>
            </c:numRef>
          </c:val>
        </c:ser>
        <c:gapWidth val="50"/>
        <c:overlap val="8"/>
        <c:axId val="227780480"/>
        <c:axId val="227782016"/>
      </c:barChart>
      <c:catAx>
        <c:axId val="227780480"/>
        <c:scaling>
          <c:orientation val="minMax"/>
        </c:scaling>
        <c:axPos val="b"/>
        <c:tickLblPos val="nextTo"/>
        <c:txPr>
          <a:bodyPr/>
          <a:lstStyle/>
          <a:p>
            <a:pPr>
              <a:defRPr sz="1800" b="0"/>
            </a:pPr>
            <a:endParaRPr lang="en-US"/>
          </a:p>
        </c:txPr>
        <c:crossAx val="227782016"/>
        <c:crosses val="autoZero"/>
        <c:auto val="1"/>
        <c:lblAlgn val="ctr"/>
        <c:lblOffset val="20"/>
        <c:tickMarkSkip val="1"/>
      </c:catAx>
      <c:valAx>
        <c:axId val="227782016"/>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227780480"/>
        <c:crosses val="autoZero"/>
        <c:crossBetween val="between"/>
      </c:valAx>
      <c:spPr>
        <a:ln w="3175">
          <a:solidFill>
            <a:schemeClr val="bg1">
              <a:lumMod val="50000"/>
            </a:schemeClr>
          </a:solidFill>
        </a:ln>
      </c:spPr>
    </c:plotArea>
    <c:plotVisOnly val="1"/>
  </c:chart>
  <c:spPr>
    <a:ln>
      <a:noFill/>
    </a:ln>
  </c:spPr>
  <c:printSettings>
    <c:headerFooter/>
    <c:pageMargins b="0.75000000000001021" l="0.70000000000000062" r="0.70000000000000062" t="0.750000000000010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2333916593759393"/>
          <c:y val="0"/>
        </c:manualLayout>
      </c:layout>
    </c:title>
    <c:plotArea>
      <c:layout>
        <c:manualLayout>
          <c:layoutTarget val="inner"/>
          <c:xMode val="edge"/>
          <c:yMode val="edge"/>
          <c:x val="0.11121463983668722"/>
          <c:y val="9.4153214213498759E-2"/>
          <c:w val="0.87759965826420439"/>
          <c:h val="0.59160285502997145"/>
        </c:manualLayout>
      </c:layout>
      <c:barChart>
        <c:barDir val="col"/>
        <c:grouping val="clustered"/>
        <c:ser>
          <c:idx val="2"/>
          <c:order val="0"/>
          <c:cat>
            <c:strRef>
              <c:f>'2020 Waferfall 1'!$B$28:$B$47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'2020 Waferfall 1'!$H$28:$H$47</c:f>
              <c:numCache>
                <c:formatCode>0.000</c:formatCode>
                <c:ptCount val="20"/>
                <c:pt idx="0">
                  <c:v>5.515237250554323E-2</c:v>
                </c:pt>
                <c:pt idx="1">
                  <c:v>0.14707789710615243</c:v>
                </c:pt>
                <c:pt idx="2">
                  <c:v>3.9322061211717163E-2</c:v>
                </c:pt>
                <c:pt idx="3">
                  <c:v>7.749949188444509E-2</c:v>
                </c:pt>
                <c:pt idx="4">
                  <c:v>4.0911739700429404E-2</c:v>
                </c:pt>
                <c:pt idx="5">
                  <c:v>3.8801294078029541E-2</c:v>
                </c:pt>
                <c:pt idx="6">
                  <c:v>1.8793821887959521E-2</c:v>
                </c:pt>
                <c:pt idx="7">
                  <c:v>4.0928767667111836E-2</c:v>
                </c:pt>
                <c:pt idx="8">
                  <c:v>4.6775914634146334E-2</c:v>
                </c:pt>
                <c:pt idx="9">
                  <c:v>3.8299573764873598E-2</c:v>
                </c:pt>
                <c:pt idx="10">
                  <c:v>2.476371951219512E-2</c:v>
                </c:pt>
                <c:pt idx="11">
                  <c:v>3.61E-2</c:v>
                </c:pt>
                <c:pt idx="12">
                  <c:v>3.2111415788714098E-2</c:v>
                </c:pt>
                <c:pt idx="13">
                  <c:v>3.1642530487804882E-2</c:v>
                </c:pt>
                <c:pt idx="14">
                  <c:v>4.4650856611728573E-2</c:v>
                </c:pt>
                <c:pt idx="15">
                  <c:v>2.0636432926829269E-2</c:v>
                </c:pt>
                <c:pt idx="16">
                  <c:v>1.98109756097561E-3</c:v>
                </c:pt>
                <c:pt idx="17">
                  <c:v>8.0501535414762449E-3</c:v>
                </c:pt>
                <c:pt idx="18">
                  <c:v>0</c:v>
                </c:pt>
                <c:pt idx="19">
                  <c:v>0</c:v>
                </c:pt>
              </c:numCache>
            </c:numRef>
          </c:val>
        </c:ser>
        <c:gapWidth val="50"/>
        <c:overlap val="8"/>
        <c:axId val="228222464"/>
        <c:axId val="228224000"/>
      </c:barChart>
      <c:catAx>
        <c:axId val="228222464"/>
        <c:scaling>
          <c:orientation val="minMax"/>
        </c:scaling>
        <c:axPos val="b"/>
        <c:tickLblPos val="nextTo"/>
        <c:txPr>
          <a:bodyPr/>
          <a:lstStyle/>
          <a:p>
            <a:pPr>
              <a:defRPr sz="1800" b="0"/>
            </a:pPr>
            <a:endParaRPr lang="en-US"/>
          </a:p>
        </c:txPr>
        <c:crossAx val="228224000"/>
        <c:crosses val="autoZero"/>
        <c:auto val="1"/>
        <c:lblAlgn val="ctr"/>
        <c:lblOffset val="20"/>
        <c:tickMarkSkip val="1"/>
      </c:catAx>
      <c:valAx>
        <c:axId val="228224000"/>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228222464"/>
        <c:crosses val="autoZero"/>
        <c:crossBetween val="between"/>
      </c:valAx>
      <c:spPr>
        <a:ln w="3175">
          <a:solidFill>
            <a:schemeClr val="bg1">
              <a:lumMod val="50000"/>
            </a:schemeClr>
          </a:solidFill>
        </a:ln>
      </c:spPr>
    </c:plotArea>
    <c:plotVisOnly val="1"/>
  </c:chart>
  <c:spPr>
    <a:ln>
      <a:noFill/>
    </a:ln>
  </c:spPr>
  <c:printSettings>
    <c:headerFooter/>
    <c:pageMargins b="0.75000000000001044" l="0.70000000000000062" r="0.70000000000000062" t="0.7500000000000104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2333916593759415"/>
          <c:y val="0"/>
        </c:manualLayout>
      </c:layout>
    </c:title>
    <c:plotArea>
      <c:layout>
        <c:manualLayout>
          <c:layoutTarget val="inner"/>
          <c:xMode val="edge"/>
          <c:yMode val="edge"/>
          <c:x val="0.11121463983668722"/>
          <c:y val="9.4153214213498759E-2"/>
          <c:w val="0.87759965826420472"/>
          <c:h val="0.59160285502997145"/>
        </c:manualLayout>
      </c:layout>
      <c:barChart>
        <c:barDir val="col"/>
        <c:grouping val="clustered"/>
        <c:ser>
          <c:idx val="2"/>
          <c:order val="0"/>
          <c:cat>
            <c:strRef>
              <c:f>'2020 Waferfall 2'!$B$28:$B$47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'2020 Waferfall 2'!$H$28:$H$47</c:f>
              <c:numCache>
                <c:formatCode>0.000</c:formatCode>
                <c:ptCount val="20"/>
                <c:pt idx="0">
                  <c:v>1.4043428184281845E-2</c:v>
                </c:pt>
                <c:pt idx="1">
                  <c:v>0.14707789710615243</c:v>
                </c:pt>
                <c:pt idx="2">
                  <c:v>3.7677807328256138E-2</c:v>
                </c:pt>
                <c:pt idx="3">
                  <c:v>7.749949188444509E-2</c:v>
                </c:pt>
                <c:pt idx="4">
                  <c:v>2.8104170395716839E-2</c:v>
                </c:pt>
                <c:pt idx="5">
                  <c:v>3.8801294078029541E-2</c:v>
                </c:pt>
                <c:pt idx="6">
                  <c:v>0</c:v>
                </c:pt>
                <c:pt idx="7">
                  <c:v>0</c:v>
                </c:pt>
                <c:pt idx="8">
                  <c:v>4.6775914634146334E-2</c:v>
                </c:pt>
                <c:pt idx="9">
                  <c:v>3.8299573764873598E-2</c:v>
                </c:pt>
                <c:pt idx="10">
                  <c:v>2.476371951219512E-2</c:v>
                </c:pt>
                <c:pt idx="11">
                  <c:v>3.61E-2</c:v>
                </c:pt>
                <c:pt idx="12">
                  <c:v>3.2111415788714098E-2</c:v>
                </c:pt>
                <c:pt idx="13">
                  <c:v>3.1642530487804882E-2</c:v>
                </c:pt>
                <c:pt idx="14">
                  <c:v>2.8737090022893041E-2</c:v>
                </c:pt>
                <c:pt idx="15">
                  <c:v>2.0636432926829269E-2</c:v>
                </c:pt>
                <c:pt idx="16">
                  <c:v>1.98109756097561E-3</c:v>
                </c:pt>
                <c:pt idx="17">
                  <c:v>8.0501535414762449E-3</c:v>
                </c:pt>
                <c:pt idx="18">
                  <c:v>0</c:v>
                </c:pt>
                <c:pt idx="19">
                  <c:v>0</c:v>
                </c:pt>
              </c:numCache>
            </c:numRef>
          </c:val>
        </c:ser>
        <c:gapWidth val="50"/>
        <c:overlap val="8"/>
        <c:axId val="228918400"/>
        <c:axId val="228919936"/>
      </c:barChart>
      <c:catAx>
        <c:axId val="228918400"/>
        <c:scaling>
          <c:orientation val="minMax"/>
        </c:scaling>
        <c:axPos val="b"/>
        <c:tickLblPos val="nextTo"/>
        <c:txPr>
          <a:bodyPr/>
          <a:lstStyle/>
          <a:p>
            <a:pPr>
              <a:defRPr sz="1800" b="0"/>
            </a:pPr>
            <a:endParaRPr lang="en-US"/>
          </a:p>
        </c:txPr>
        <c:crossAx val="228919936"/>
        <c:crosses val="autoZero"/>
        <c:auto val="1"/>
        <c:lblAlgn val="ctr"/>
        <c:lblOffset val="20"/>
        <c:tickMarkSkip val="1"/>
      </c:catAx>
      <c:valAx>
        <c:axId val="228919936"/>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228918400"/>
        <c:crosses val="autoZero"/>
        <c:crossBetween val="between"/>
      </c:valAx>
      <c:spPr>
        <a:ln w="3175">
          <a:solidFill>
            <a:schemeClr val="bg1">
              <a:lumMod val="50000"/>
            </a:schemeClr>
          </a:solidFill>
        </a:ln>
      </c:spPr>
    </c:plotArea>
    <c:plotVisOnly val="1"/>
  </c:chart>
  <c:spPr>
    <a:ln>
      <a:noFill/>
    </a:ln>
  </c:spPr>
  <c:printSettings>
    <c:headerFooter/>
    <c:pageMargins b="0.75000000000001066" l="0.70000000000000062" r="0.70000000000000062" t="0.7500000000000106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3200"/>
            </a:pPr>
            <a:r>
              <a:rPr lang="en-US" sz="3200"/>
              <a:t>Module Cost</a:t>
            </a:r>
            <a:r>
              <a:rPr lang="en-US" sz="3200" baseline="0"/>
              <a:t> Breakdown</a:t>
            </a:r>
            <a:endParaRPr lang="en-US" sz="3200"/>
          </a:p>
        </c:rich>
      </c:tx>
      <c:layout>
        <c:manualLayout>
          <c:xMode val="edge"/>
          <c:yMode val="edge"/>
          <c:x val="0.32333916593759454"/>
          <c:y val="0"/>
        </c:manualLayout>
      </c:layout>
    </c:title>
    <c:plotArea>
      <c:layout>
        <c:manualLayout>
          <c:layoutTarget val="inner"/>
          <c:xMode val="edge"/>
          <c:yMode val="edge"/>
          <c:x val="0.11121463983668722"/>
          <c:y val="9.8984194717219268E-2"/>
          <c:w val="0.87759965826420516"/>
          <c:h val="0.5867719553372045"/>
        </c:manualLayout>
      </c:layout>
      <c:barChart>
        <c:barDir val="col"/>
        <c:grouping val="clustered"/>
        <c:ser>
          <c:idx val="2"/>
          <c:order val="0"/>
          <c:cat>
            <c:strRef>
              <c:f>'2020 Waferfall 3'!$B$28:$B$47</c:f>
              <c:strCache>
                <c:ptCount val="20"/>
                <c:pt idx="0">
                  <c:v>Silicon Feedstock</c:v>
                </c:pt>
                <c:pt idx="1">
                  <c:v>Depreciation</c:v>
                </c:pt>
                <c:pt idx="2">
                  <c:v>Maintenance</c:v>
                </c:pt>
                <c:pt idx="3">
                  <c:v>Labor</c:v>
                </c:pt>
                <c:pt idx="4">
                  <c:v>Input Electricity</c:v>
                </c:pt>
                <c:pt idx="5">
                  <c:v>Metal Paste</c:v>
                </c:pt>
                <c:pt idx="6">
                  <c:v>Ingot Casting</c:v>
                </c:pt>
                <c:pt idx="7">
                  <c:v>Wire Sawing</c:v>
                </c:pt>
                <c:pt idx="8">
                  <c:v>Glass</c:v>
                </c:pt>
                <c:pt idx="9">
                  <c:v>Frame</c:v>
                </c:pt>
                <c:pt idx="10">
                  <c:v>Encapsulant</c:v>
                </c:pt>
                <c:pt idx="11">
                  <c:v>JB and Cable</c:v>
                </c:pt>
                <c:pt idx="12">
                  <c:v>Chemicals</c:v>
                </c:pt>
                <c:pt idx="13">
                  <c:v>Back Sheet</c:v>
                </c:pt>
                <c:pt idx="14">
                  <c:v>Yield Loss</c:v>
                </c:pt>
                <c:pt idx="15">
                  <c:v>Ribbon</c:v>
                </c:pt>
                <c:pt idx="16">
                  <c:v>Packaging</c:v>
                </c:pt>
                <c:pt idx="17">
                  <c:v>Screens</c:v>
                </c:pt>
                <c:pt idx="18">
                  <c:v>Shipping costs</c:v>
                </c:pt>
                <c:pt idx="19">
                  <c:v>Import Duty (FOB)</c:v>
                </c:pt>
              </c:strCache>
            </c:strRef>
          </c:cat>
          <c:val>
            <c:numRef>
              <c:f>'2020 Waferfall 3'!$H$28:$H$47</c:f>
              <c:numCache>
                <c:formatCode>0.000</c:formatCode>
                <c:ptCount val="20"/>
                <c:pt idx="0">
                  <c:v>1.4043428184281845E-2</c:v>
                </c:pt>
                <c:pt idx="1">
                  <c:v>0.14707789710615243</c:v>
                </c:pt>
                <c:pt idx="2">
                  <c:v>3.7677807328256138E-2</c:v>
                </c:pt>
                <c:pt idx="3">
                  <c:v>5.8570018291980053E-2</c:v>
                </c:pt>
                <c:pt idx="4">
                  <c:v>2.8104170395716839E-2</c:v>
                </c:pt>
                <c:pt idx="5">
                  <c:v>5.3519026314523502E-2</c:v>
                </c:pt>
                <c:pt idx="6">
                  <c:v>0</c:v>
                </c:pt>
                <c:pt idx="7">
                  <c:v>0</c:v>
                </c:pt>
                <c:pt idx="8">
                  <c:v>4.6775914634146334E-2</c:v>
                </c:pt>
                <c:pt idx="9">
                  <c:v>0</c:v>
                </c:pt>
                <c:pt idx="10">
                  <c:v>2.476371951219512E-2</c:v>
                </c:pt>
                <c:pt idx="11">
                  <c:v>3.61E-2</c:v>
                </c:pt>
                <c:pt idx="12">
                  <c:v>1.6697936210131333E-2</c:v>
                </c:pt>
                <c:pt idx="13">
                  <c:v>3.1642530487804882E-2</c:v>
                </c:pt>
                <c:pt idx="14">
                  <c:v>2.5708079559581321E-2</c:v>
                </c:pt>
                <c:pt idx="15">
                  <c:v>0</c:v>
                </c:pt>
                <c:pt idx="16">
                  <c:v>1.98109756097561E-3</c:v>
                </c:pt>
                <c:pt idx="17">
                  <c:v>0</c:v>
                </c:pt>
                <c:pt idx="18">
                  <c:v>0</c:v>
                </c:pt>
                <c:pt idx="19">
                  <c:v>0</c:v>
                </c:pt>
              </c:numCache>
            </c:numRef>
          </c:val>
        </c:ser>
        <c:gapWidth val="50"/>
        <c:overlap val="8"/>
        <c:axId val="228594048"/>
        <c:axId val="228595584"/>
      </c:barChart>
      <c:catAx>
        <c:axId val="228594048"/>
        <c:scaling>
          <c:orientation val="minMax"/>
        </c:scaling>
        <c:axPos val="b"/>
        <c:tickLblPos val="nextTo"/>
        <c:txPr>
          <a:bodyPr/>
          <a:lstStyle/>
          <a:p>
            <a:pPr>
              <a:defRPr sz="1800" b="0"/>
            </a:pPr>
            <a:endParaRPr lang="en-US"/>
          </a:p>
        </c:txPr>
        <c:crossAx val="228595584"/>
        <c:crosses val="autoZero"/>
        <c:auto val="1"/>
        <c:lblAlgn val="ctr"/>
        <c:lblOffset val="20"/>
        <c:tickMarkSkip val="1"/>
      </c:catAx>
      <c:valAx>
        <c:axId val="228595584"/>
        <c:scaling>
          <c:orientation val="minMax"/>
        </c:scaling>
        <c:axPos val="l"/>
        <c:majorGridlines>
          <c:spPr>
            <a:ln>
              <a:prstDash val="dash"/>
            </a:ln>
          </c:spPr>
        </c:majorGridlines>
        <c:title>
          <c:tx>
            <c:rich>
              <a:bodyPr rot="-5400000" vert="horz"/>
              <a:lstStyle/>
              <a:p>
                <a:pPr>
                  <a:defRPr sz="2000"/>
                </a:pPr>
                <a:r>
                  <a:rPr lang="en-US" sz="2000"/>
                  <a:t>Cost</a:t>
                </a:r>
                <a:r>
                  <a:rPr lang="en-US" sz="2000" baseline="0"/>
                  <a:t> [$/W</a:t>
                </a:r>
                <a:r>
                  <a:rPr lang="en-US" sz="2000" baseline="-25000"/>
                  <a:t>p</a:t>
                </a:r>
                <a:r>
                  <a:rPr lang="en-US" sz="2000" baseline="0"/>
                  <a:t>]</a:t>
                </a:r>
                <a:endParaRPr lang="en-US" sz="2000"/>
              </a:p>
            </c:rich>
          </c:tx>
        </c:title>
        <c:numFmt formatCode="0.00" sourceLinked="0"/>
        <c:tickLblPos val="nextTo"/>
        <c:txPr>
          <a:bodyPr/>
          <a:lstStyle/>
          <a:p>
            <a:pPr>
              <a:defRPr sz="2000"/>
            </a:pPr>
            <a:endParaRPr lang="en-US"/>
          </a:p>
        </c:txPr>
        <c:crossAx val="228594048"/>
        <c:crosses val="autoZero"/>
        <c:crossBetween val="between"/>
      </c:valAx>
      <c:spPr>
        <a:ln w="3175">
          <a:solidFill>
            <a:schemeClr val="bg1">
              <a:lumMod val="50000"/>
            </a:schemeClr>
          </a:solidFill>
        </a:ln>
      </c:spPr>
    </c:plotArea>
    <c:plotVisOnly val="1"/>
  </c:chart>
  <c:spPr>
    <a:ln>
      <a:noFill/>
    </a:ln>
  </c:sp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14</xdr:col>
      <xdr:colOff>361950</xdr:colOff>
      <xdr:row>80</xdr:row>
      <xdr:rowOff>140971</xdr:rowOff>
    </xdr:from>
    <xdr:to>
      <xdr:col>27</xdr:col>
      <xdr:colOff>224790</xdr:colOff>
      <xdr:row>87</xdr:row>
      <xdr:rowOff>125731</xdr:rowOff>
    </xdr:to>
    <xdr:sp macro="" textlink="">
      <xdr:nvSpPr>
        <xdr:cNvPr id="50" name="Rectangle 49"/>
        <xdr:cNvSpPr/>
      </xdr:nvSpPr>
      <xdr:spPr>
        <a:xfrm rot="16200000">
          <a:off x="20132040" y="11422381"/>
          <a:ext cx="1318260" cy="130454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29</xdr:col>
      <xdr:colOff>4127</xdr:colOff>
      <xdr:row>46</xdr:row>
      <xdr:rowOff>1834007</xdr:rowOff>
    </xdr:from>
    <xdr:to>
      <xdr:col>30</xdr:col>
      <xdr:colOff>1264920</xdr:colOff>
      <xdr:row>46</xdr:row>
      <xdr:rowOff>2192146</xdr:rowOff>
    </xdr:to>
    <xdr:sp macro="" textlink="">
      <xdr:nvSpPr>
        <xdr:cNvPr id="19" name="TextBox 18"/>
        <xdr:cNvSpPr txBox="1"/>
      </xdr:nvSpPr>
      <xdr:spPr>
        <a:xfrm>
          <a:off x="24159527" y="15296007"/>
          <a:ext cx="2683193" cy="3581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000" b="1" u="sng">
              <a:solidFill>
                <a:schemeClr val="accent2">
                  <a:lumMod val="75000"/>
                </a:schemeClr>
              </a:solidFill>
            </a:rPr>
            <a:t>Cell                                  .</a:t>
          </a:r>
        </a:p>
      </xdr:txBody>
    </xdr:sp>
    <xdr:clientData/>
  </xdr:twoCellAnchor>
  <xdr:twoCellAnchor>
    <xdr:from>
      <xdr:col>30</xdr:col>
      <xdr:colOff>693420</xdr:colOff>
      <xdr:row>30</xdr:row>
      <xdr:rowOff>76200</xdr:rowOff>
    </xdr:from>
    <xdr:to>
      <xdr:col>30</xdr:col>
      <xdr:colOff>1303020</xdr:colOff>
      <xdr:row>76</xdr:row>
      <xdr:rowOff>0</xdr:rowOff>
    </xdr:to>
    <xdr:sp macro="" textlink="">
      <xdr:nvSpPr>
        <xdr:cNvPr id="15" name="TextBox 14"/>
        <xdr:cNvSpPr txBox="1"/>
      </xdr:nvSpPr>
      <xdr:spPr>
        <a:xfrm>
          <a:off x="25687020" y="10515600"/>
          <a:ext cx="609600" cy="10744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clientData/>
  </xdr:twoCellAnchor>
  <xdr:twoCellAnchor>
    <xdr:from>
      <xdr:col>23</xdr:col>
      <xdr:colOff>419100</xdr:colOff>
      <xdr:row>57</xdr:row>
      <xdr:rowOff>533400</xdr:rowOff>
    </xdr:from>
    <xdr:to>
      <xdr:col>27</xdr:col>
      <xdr:colOff>188686</xdr:colOff>
      <xdr:row>57</xdr:row>
      <xdr:rowOff>936172</xdr:rowOff>
    </xdr:to>
    <xdr:sp macro="" textlink="">
      <xdr:nvSpPr>
        <xdr:cNvPr id="31" name="TextBox 30"/>
        <xdr:cNvSpPr txBox="1"/>
      </xdr:nvSpPr>
      <xdr:spPr>
        <a:xfrm>
          <a:off x="28054300" y="13576300"/>
          <a:ext cx="2207986" cy="402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rIns="0" rtlCol="0" anchor="t"/>
        <a:lstStyle/>
        <a:p>
          <a:pPr algn="ctr" rtl="0"/>
          <a:r>
            <a:rPr lang="en-US" sz="2000" b="1" i="0" baseline="0">
              <a:solidFill>
                <a:schemeClr val="dk1"/>
              </a:solidFill>
              <a:latin typeface="+mn-lt"/>
              <a:ea typeface="+mn-ea"/>
              <a:cs typeface="+mn-cs"/>
            </a:rPr>
            <a:t>Cost [US$/W</a:t>
          </a:r>
          <a:r>
            <a:rPr lang="en-US" sz="2000" b="1" i="0" baseline="-25000">
              <a:solidFill>
                <a:schemeClr val="dk1"/>
              </a:solidFill>
              <a:latin typeface="+mn-lt"/>
              <a:ea typeface="+mn-ea"/>
              <a:cs typeface="+mn-cs"/>
            </a:rPr>
            <a:t>p</a:t>
          </a:r>
          <a:r>
            <a:rPr lang="en-US" sz="2000" b="1" i="0" baseline="0">
              <a:solidFill>
                <a:schemeClr val="dk1"/>
              </a:solidFill>
              <a:latin typeface="+mn-lt"/>
              <a:ea typeface="+mn-ea"/>
              <a:cs typeface="+mn-cs"/>
            </a:rPr>
            <a:t>]</a:t>
          </a:r>
          <a:endParaRPr lang="en-US" sz="2000"/>
        </a:p>
      </xdr:txBody>
    </xdr:sp>
    <xdr:clientData/>
  </xdr:twoCellAnchor>
  <xdr:twoCellAnchor>
    <xdr:from>
      <xdr:col>14</xdr:col>
      <xdr:colOff>76200</xdr:colOff>
      <xdr:row>93</xdr:row>
      <xdr:rowOff>12700</xdr:rowOff>
    </xdr:from>
    <xdr:to>
      <xdr:col>27</xdr:col>
      <xdr:colOff>141511</xdr:colOff>
      <xdr:row>163</xdr:row>
      <xdr:rowOff>0</xdr:rowOff>
    </xdr:to>
    <xdr:grpSp>
      <xdr:nvGrpSpPr>
        <xdr:cNvPr id="44" name="Group 43"/>
        <xdr:cNvGrpSpPr/>
      </xdr:nvGrpSpPr>
      <xdr:grpSpPr>
        <a:xfrm>
          <a:off x="13881100" y="17259300"/>
          <a:ext cx="13324111" cy="12674600"/>
          <a:chOff x="13931900" y="19783425"/>
          <a:chExt cx="13286160" cy="12868275"/>
        </a:xfrm>
      </xdr:grpSpPr>
      <xdr:graphicFrame macro="">
        <xdr:nvGraphicFramePr>
          <xdr:cNvPr id="25" name="Chart 24"/>
          <xdr:cNvGraphicFramePr/>
        </xdr:nvGraphicFramePr>
        <xdr:xfrm>
          <a:off x="13931900" y="19783425"/>
          <a:ext cx="12936063" cy="128682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7" name="TextBox 26"/>
          <xdr:cNvSpPr txBox="1"/>
        </xdr:nvSpPr>
        <xdr:spPr>
          <a:xfrm>
            <a:off x="23986852" y="20842446"/>
            <a:ext cx="3035183" cy="3811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4">
                    <a:lumMod val="75000"/>
                  </a:schemeClr>
                </a:solidFill>
              </a:rPr>
              <a:t>Module                           .</a:t>
            </a:r>
          </a:p>
        </xdr:txBody>
      </xdr:sp>
      <xdr:sp macro="" textlink="">
        <xdr:nvSpPr>
          <xdr:cNvPr id="28" name="TextBox 27"/>
          <xdr:cNvSpPr txBox="1"/>
        </xdr:nvSpPr>
        <xdr:spPr>
          <a:xfrm>
            <a:off x="23970325" y="24469279"/>
            <a:ext cx="3062601" cy="3606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2">
                    <a:lumMod val="75000"/>
                  </a:schemeClr>
                </a:solidFill>
              </a:rPr>
              <a:t>Cell                                  .</a:t>
            </a:r>
          </a:p>
        </xdr:txBody>
      </xdr:sp>
      <xdr:sp macro="" textlink="">
        <xdr:nvSpPr>
          <xdr:cNvPr id="29" name="TextBox 28"/>
          <xdr:cNvSpPr txBox="1"/>
        </xdr:nvSpPr>
        <xdr:spPr>
          <a:xfrm>
            <a:off x="23978094" y="26950858"/>
            <a:ext cx="3239966" cy="4050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1">
                    <a:lumMod val="75000"/>
                  </a:schemeClr>
                </a:solidFill>
              </a:rPr>
              <a:t>Wafer                              .1</a:t>
            </a:r>
          </a:p>
        </xdr:txBody>
      </xdr:sp>
      <xdr:sp macro="" textlink="">
        <xdr:nvSpPr>
          <xdr:cNvPr id="30" name="TextBox 29"/>
          <xdr:cNvSpPr txBox="1"/>
        </xdr:nvSpPr>
        <xdr:spPr>
          <a:xfrm>
            <a:off x="25998348" y="20196809"/>
            <a:ext cx="980126" cy="10245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1100"/>
          </a:p>
        </xdr:txBody>
      </xdr:sp>
    </xdr:grpSp>
    <xdr:clientData/>
  </xdr:twoCellAnchor>
  <xdr:twoCellAnchor>
    <xdr:from>
      <xdr:col>14</xdr:col>
      <xdr:colOff>328246</xdr:colOff>
      <xdr:row>24</xdr:row>
      <xdr:rowOff>82062</xdr:rowOff>
    </xdr:from>
    <xdr:to>
      <xdr:col>26</xdr:col>
      <xdr:colOff>389282</xdr:colOff>
      <xdr:row>83</xdr:row>
      <xdr:rowOff>24451</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444868</xdr:colOff>
      <xdr:row>29</xdr:row>
      <xdr:rowOff>47919</xdr:rowOff>
    </xdr:from>
    <xdr:to>
      <xdr:col>26</xdr:col>
      <xdr:colOff>557744</xdr:colOff>
      <xdr:row>31</xdr:row>
      <xdr:rowOff>48713</xdr:rowOff>
    </xdr:to>
    <xdr:sp macro="" textlink="">
      <xdr:nvSpPr>
        <xdr:cNvPr id="45" name="TextBox 44"/>
        <xdr:cNvSpPr txBox="1"/>
      </xdr:nvSpPr>
      <xdr:spPr>
        <a:xfrm>
          <a:off x="24104968" y="7496469"/>
          <a:ext cx="2932276" cy="381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4">
                  <a:lumMod val="75000"/>
                </a:schemeClr>
              </a:solidFill>
            </a:rPr>
            <a:t>Module                        .</a:t>
          </a:r>
        </a:p>
      </xdr:txBody>
    </xdr:sp>
    <xdr:clientData/>
  </xdr:twoCellAnchor>
  <xdr:twoCellAnchor>
    <xdr:from>
      <xdr:col>24</xdr:col>
      <xdr:colOff>472334</xdr:colOff>
      <xdr:row>63</xdr:row>
      <xdr:rowOff>152498</xdr:rowOff>
    </xdr:from>
    <xdr:to>
      <xdr:col>26</xdr:col>
      <xdr:colOff>407218</xdr:colOff>
      <xdr:row>65</xdr:row>
      <xdr:rowOff>146910</xdr:rowOff>
    </xdr:to>
    <xdr:sp macro="" textlink="">
      <xdr:nvSpPr>
        <xdr:cNvPr id="46" name="TextBox 45"/>
        <xdr:cNvSpPr txBox="1"/>
      </xdr:nvSpPr>
      <xdr:spPr>
        <a:xfrm>
          <a:off x="24132434" y="14058998"/>
          <a:ext cx="2754284" cy="37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1">
                  <a:lumMod val="75000"/>
                </a:schemeClr>
              </a:solidFill>
            </a:rPr>
            <a:t>Wafer                    </a:t>
          </a:r>
          <a:r>
            <a:rPr lang="en-US" sz="2200" b="1" u="sng" baseline="0">
              <a:solidFill>
                <a:schemeClr val="accent1">
                  <a:lumMod val="75000"/>
                </a:schemeClr>
              </a:solidFill>
            </a:rPr>
            <a:t>     </a:t>
          </a:r>
          <a:r>
            <a:rPr lang="en-US" sz="2200" b="1" u="sng">
              <a:solidFill>
                <a:schemeClr val="accent1">
                  <a:lumMod val="75000"/>
                </a:schemeClr>
              </a:solidFill>
            </a:rPr>
            <a:t>  .</a:t>
          </a:r>
        </a:p>
      </xdr:txBody>
    </xdr:sp>
    <xdr:clientData/>
  </xdr:twoCellAnchor>
  <xdr:twoCellAnchor>
    <xdr:from>
      <xdr:col>24</xdr:col>
      <xdr:colOff>456144</xdr:colOff>
      <xdr:row>49</xdr:row>
      <xdr:rowOff>138483</xdr:rowOff>
    </xdr:from>
    <xdr:to>
      <xdr:col>27</xdr:col>
      <xdr:colOff>114300</xdr:colOff>
      <xdr:row>51</xdr:row>
      <xdr:rowOff>152400</xdr:rowOff>
    </xdr:to>
    <xdr:sp macro="" textlink="">
      <xdr:nvSpPr>
        <xdr:cNvPr id="47" name="TextBox 46"/>
        <xdr:cNvSpPr txBox="1"/>
      </xdr:nvSpPr>
      <xdr:spPr>
        <a:xfrm>
          <a:off x="24116244" y="11397033"/>
          <a:ext cx="3087156" cy="39491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2200" b="1" u="sng">
              <a:solidFill>
                <a:schemeClr val="accent2"/>
              </a:solidFill>
            </a:rPr>
            <a:t>Cell                                .</a:t>
          </a:r>
        </a:p>
      </xdr:txBody>
    </xdr:sp>
    <xdr:clientData/>
  </xdr:twoCellAnchor>
  <xdr:twoCellAnchor>
    <xdr:from>
      <xdr:col>25</xdr:col>
      <xdr:colOff>1009650</xdr:colOff>
      <xdr:row>28</xdr:row>
      <xdr:rowOff>133350</xdr:rowOff>
    </xdr:from>
    <xdr:to>
      <xdr:col>27</xdr:col>
      <xdr:colOff>247650</xdr:colOff>
      <xdr:row>83</xdr:row>
      <xdr:rowOff>99060</xdr:rowOff>
    </xdr:to>
    <xdr:sp macro="" textlink="">
      <xdr:nvSpPr>
        <xdr:cNvPr id="49" name="Rectangle 48"/>
        <xdr:cNvSpPr/>
      </xdr:nvSpPr>
      <xdr:spPr>
        <a:xfrm>
          <a:off x="26079450" y="7391400"/>
          <a:ext cx="1257300" cy="104241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0.00192</cdr:x>
      <cdr:y>0.00228</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userShapes>
</file>

<file path=xl/drawings/drawing3.xml><?xml version="1.0" encoding="utf-8"?>
<xdr:wsDr xmlns:xdr="http://schemas.openxmlformats.org/drawingml/2006/spreadsheetDrawing" xmlns:a="http://schemas.openxmlformats.org/drawingml/2006/main">
  <xdr:twoCellAnchor>
    <xdr:from>
      <xdr:col>8</xdr:col>
      <xdr:colOff>1229422</xdr:colOff>
      <xdr:row>0</xdr:row>
      <xdr:rowOff>188642</xdr:rowOff>
    </xdr:from>
    <xdr:to>
      <xdr:col>16</xdr:col>
      <xdr:colOff>365822</xdr:colOff>
      <xdr:row>24</xdr:row>
      <xdr:rowOff>137841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1220067</xdr:colOff>
      <xdr:row>27</xdr:row>
      <xdr:rowOff>161365</xdr:rowOff>
    </xdr:from>
    <xdr:to>
      <xdr:col>29</xdr:col>
      <xdr:colOff>256809</xdr:colOff>
      <xdr:row>69</xdr:row>
      <xdr:rowOff>105998</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535325</xdr:colOff>
      <xdr:row>52</xdr:row>
      <xdr:rowOff>116454</xdr:rowOff>
    </xdr:from>
    <xdr:to>
      <xdr:col>24</xdr:col>
      <xdr:colOff>419100</xdr:colOff>
      <xdr:row>63</xdr:row>
      <xdr:rowOff>161364</xdr:rowOff>
    </xdr:to>
    <xdr:sp macro="" textlink="">
      <xdr:nvSpPr>
        <xdr:cNvPr id="14" name="TextBox 13"/>
        <xdr:cNvSpPr txBox="1"/>
      </xdr:nvSpPr>
      <xdr:spPr>
        <a:xfrm>
          <a:off x="28500725" y="10581254"/>
          <a:ext cx="3808075" cy="20007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bIns="0" rtlCol="0" anchor="t"/>
        <a:lstStyle/>
        <a:p>
          <a:pPr rtl="0"/>
          <a:r>
            <a:rPr lang="en-US" sz="1800" b="0" i="0" baseline="0">
              <a:solidFill>
                <a:schemeClr val="dk1"/>
              </a:solidFill>
              <a:latin typeface="+mn-lt"/>
              <a:ea typeface="+mn-ea"/>
              <a:cs typeface="+mn-cs"/>
            </a:rPr>
            <a:t>Other Module Cost Components:</a:t>
          </a:r>
        </a:p>
        <a:p>
          <a:pPr marL="0" marR="0" indent="0" defTabSz="914400" eaLnBrk="1" fontAlgn="auto" latinLnBrk="0" hangingPunct="1">
            <a:lnSpc>
              <a:spcPct val="100000"/>
            </a:lnSpc>
            <a:spcBef>
              <a:spcPts val="0"/>
            </a:spcBef>
            <a:spcAft>
              <a:spcPts val="0"/>
            </a:spcAft>
            <a:buClrTx/>
            <a:buSzTx/>
            <a:buFontTx/>
            <a:buNone/>
            <a:tabLst/>
            <a:defRPr/>
          </a:pPr>
          <a:r>
            <a:rPr lang="en-US" sz="1800"/>
            <a:t>1) Glass		7</a:t>
          </a:r>
          <a:r>
            <a:rPr kumimoji="0" lang="en-US" sz="1800" b="0" i="0" u="none" strike="noStrike" kern="0" cap="none" spc="0" normalizeH="0" baseline="0" noProof="0">
              <a:ln>
                <a:noFill/>
              </a:ln>
              <a:solidFill>
                <a:prstClr val="black"/>
              </a:solidFill>
              <a:effectLst/>
              <a:uLnTx/>
              <a:uFillTx/>
              <a:latin typeface="+mn-lt"/>
              <a:ea typeface="+mn-ea"/>
              <a:cs typeface="+mn-cs"/>
            </a:rPr>
            <a:t>) Input Electricity</a:t>
          </a:r>
          <a:endParaRPr lang="en-US" sz="1800"/>
        </a:p>
        <a:p>
          <a:pPr marL="0" marR="0" indent="0" defTabSz="914400" eaLnBrk="1" fontAlgn="auto" latinLnBrk="0" hangingPunct="1">
            <a:lnSpc>
              <a:spcPct val="100000"/>
            </a:lnSpc>
            <a:spcBef>
              <a:spcPts val="0"/>
            </a:spcBef>
            <a:spcAft>
              <a:spcPts val="0"/>
            </a:spcAft>
            <a:buClrTx/>
            <a:buSzTx/>
            <a:buFontTx/>
            <a:buNone/>
            <a:tabLst/>
            <a:defRPr/>
          </a:pPr>
          <a:r>
            <a:rPr lang="en-US" sz="1800"/>
            <a:t>2) Wire sawing	</a:t>
          </a:r>
          <a:r>
            <a:rPr kumimoji="0" lang="en-US" sz="1800" b="0" i="0" u="none" strike="noStrike" kern="0" cap="none" spc="0" normalizeH="0" baseline="0" noProof="0">
              <a:ln>
                <a:noFill/>
              </a:ln>
              <a:solidFill>
                <a:prstClr val="black"/>
              </a:solidFill>
              <a:effectLst/>
              <a:uLnTx/>
              <a:uFillTx/>
              <a:latin typeface="+mn-lt"/>
              <a:ea typeface="+mn-ea"/>
              <a:cs typeface="+mn-cs"/>
            </a:rPr>
            <a:t>8) JB and Cable</a:t>
          </a:r>
          <a:endParaRPr lang="en-US" sz="1800"/>
        </a:p>
        <a:p>
          <a:pPr marL="0" marR="0" indent="0" defTabSz="914400" eaLnBrk="1" fontAlgn="auto" latinLnBrk="0" hangingPunct="1">
            <a:lnSpc>
              <a:spcPct val="100000"/>
            </a:lnSpc>
            <a:spcBef>
              <a:spcPts val="0"/>
            </a:spcBef>
            <a:spcAft>
              <a:spcPts val="0"/>
            </a:spcAft>
            <a:buClrTx/>
            <a:buSzTx/>
            <a:buFontTx/>
            <a:buNone/>
            <a:tabLst/>
            <a:defRPr/>
          </a:pPr>
          <a:r>
            <a:rPr lang="en-US" sz="1800"/>
            <a:t>3) Frame		</a:t>
          </a:r>
          <a:r>
            <a:rPr kumimoji="0" lang="en-US" sz="1800" b="0" i="0" u="none" strike="noStrike" kern="0" cap="none" spc="0" normalizeH="0" baseline="0" noProof="0">
              <a:ln>
                <a:noFill/>
              </a:ln>
              <a:solidFill>
                <a:prstClr val="black"/>
              </a:solidFill>
              <a:effectLst/>
              <a:uLnTx/>
              <a:uFillTx/>
              <a:latin typeface="+mn-lt"/>
              <a:ea typeface="+mn-ea"/>
              <a:cs typeface="+mn-cs"/>
            </a:rPr>
            <a:t>9) Encapsulant</a:t>
          </a:r>
          <a:endParaRPr lang="en-US" sz="1800" baseline="0"/>
        </a:p>
        <a:p>
          <a:pPr marL="0" marR="0" indent="0" defTabSz="914400" eaLnBrk="1" fontAlgn="auto" latinLnBrk="0" hangingPunct="1">
            <a:lnSpc>
              <a:spcPct val="100000"/>
            </a:lnSpc>
            <a:spcBef>
              <a:spcPts val="0"/>
            </a:spcBef>
            <a:spcAft>
              <a:spcPts val="0"/>
            </a:spcAft>
            <a:buClrTx/>
            <a:buSzTx/>
            <a:buFontTx/>
            <a:buNone/>
            <a:tabLst/>
            <a:defRPr/>
          </a:pPr>
          <a:r>
            <a:rPr lang="en-US" sz="1800" baseline="0"/>
            <a:t>4) </a:t>
          </a:r>
          <a:r>
            <a:rPr kumimoji="0" lang="en-US" sz="1800" b="0" i="0" u="none" strike="noStrike" kern="0" cap="none" spc="0" normalizeH="0" baseline="0" noProof="0">
              <a:ln>
                <a:noFill/>
              </a:ln>
              <a:solidFill>
                <a:prstClr val="black"/>
              </a:solidFill>
              <a:effectLst/>
              <a:uLnTx/>
              <a:uFillTx/>
              <a:latin typeface="+mn-lt"/>
              <a:ea typeface="+mn-ea"/>
              <a:cs typeface="+mn-cs"/>
            </a:rPr>
            <a:t>Chemicals	10) Ribbon</a:t>
          </a:r>
        </a:p>
        <a:p>
          <a:pPr marL="0" marR="0" indent="0" defTabSz="914400" eaLnBrk="1" fontAlgn="auto" latinLnBrk="0" hangingPunct="1">
            <a:lnSpc>
              <a:spcPct val="100000"/>
            </a:lnSpc>
            <a:spcBef>
              <a:spcPts val="0"/>
            </a:spcBef>
            <a:spcAft>
              <a:spcPts val="0"/>
            </a:spcAft>
            <a:buClrTx/>
            <a:buSzTx/>
            <a:buFontTx/>
            <a:buNone/>
            <a:tabLst/>
            <a:defRPr/>
          </a:pPr>
          <a:r>
            <a:rPr kumimoji="0" lang="en-US" sz="1800" b="0" i="0" u="none" strike="noStrike" kern="0" cap="none" spc="0" normalizeH="0" baseline="0" noProof="0">
              <a:ln>
                <a:noFill/>
              </a:ln>
              <a:solidFill>
                <a:prstClr val="black"/>
              </a:solidFill>
              <a:effectLst/>
              <a:uLnTx/>
              <a:uFillTx/>
              <a:latin typeface="+mn-lt"/>
              <a:ea typeface="+mn-ea"/>
              <a:cs typeface="+mn-cs"/>
            </a:rPr>
            <a:t>5) Maintenance	11) Ingot Casting</a:t>
          </a:r>
        </a:p>
        <a:p>
          <a:pPr marL="0" marR="0" indent="0" defTabSz="914400" eaLnBrk="1" fontAlgn="auto" latinLnBrk="0" hangingPunct="1">
            <a:lnSpc>
              <a:spcPct val="100000"/>
            </a:lnSpc>
            <a:spcBef>
              <a:spcPts val="0"/>
            </a:spcBef>
            <a:spcAft>
              <a:spcPts val="0"/>
            </a:spcAft>
            <a:buClrTx/>
            <a:buSzTx/>
            <a:buFontTx/>
            <a:buNone/>
            <a:tabLst/>
            <a:defRPr/>
          </a:pPr>
          <a:r>
            <a:rPr kumimoji="0" lang="en-US" sz="1800" b="0" i="0" u="none" strike="noStrike" kern="0" cap="none" spc="0" normalizeH="0" baseline="0" noProof="0">
              <a:ln>
                <a:noFill/>
              </a:ln>
              <a:solidFill>
                <a:prstClr val="black"/>
              </a:solidFill>
              <a:effectLst/>
              <a:uLnTx/>
              <a:uFillTx/>
              <a:latin typeface="+mn-lt"/>
              <a:ea typeface="+mn-ea"/>
              <a:cs typeface="+mn-cs"/>
            </a:rPr>
            <a:t>6) Back Sheet</a:t>
          </a:r>
          <a:r>
            <a:rPr lang="en-US" sz="1800" baseline="0"/>
            <a:t>	</a:t>
          </a:r>
          <a:r>
            <a:rPr kumimoji="0" lang="en-US" sz="1800" b="0" i="0" u="none" strike="noStrike" kern="0" cap="none" spc="0" normalizeH="0" baseline="0" noProof="0">
              <a:ln>
                <a:noFill/>
              </a:ln>
              <a:solidFill>
                <a:prstClr val="black"/>
              </a:solidFill>
              <a:effectLst/>
              <a:uLnTx/>
              <a:uFillTx/>
              <a:latin typeface="+mn-lt"/>
              <a:ea typeface="+mn-ea"/>
              <a:cs typeface="+mn-cs"/>
            </a:rPr>
            <a:t>12) Screens</a:t>
          </a:r>
          <a:endParaRPr lang="en-US" sz="1800" baseline="0"/>
        </a:p>
        <a:p>
          <a:pPr marL="0" marR="0" indent="0" defTabSz="914400" eaLnBrk="1" fontAlgn="auto" latinLnBrk="0" hangingPunct="1">
            <a:lnSpc>
              <a:spcPct val="100000"/>
            </a:lnSpc>
            <a:spcBef>
              <a:spcPts val="0"/>
            </a:spcBef>
            <a:spcAft>
              <a:spcPts val="0"/>
            </a:spcAft>
            <a:buClrTx/>
            <a:buSzTx/>
            <a:buFontTx/>
            <a:buNone/>
            <a:tabLst/>
            <a:defRPr/>
          </a:pPr>
          <a:r>
            <a:rPr lang="en-US" sz="1800" baseline="0"/>
            <a:t>	</a:t>
          </a:r>
          <a:endParaRPr lang="en-US" sz="1800" baseline="0">
            <a:solidFill>
              <a:schemeClr val="dk1"/>
            </a:solidFill>
            <a:latin typeface="+mn-lt"/>
            <a:ea typeface="+mn-ea"/>
            <a:cs typeface="+mn-cs"/>
          </a:endParaRPr>
        </a:p>
        <a:p>
          <a:r>
            <a:rPr lang="en-US" sz="1800" baseline="0"/>
            <a:t>	</a:t>
          </a:r>
        </a:p>
      </xdr:txBody>
    </xdr:sp>
    <xdr:clientData/>
  </xdr:twoCellAnchor>
  <xdr:twoCellAnchor>
    <xdr:from>
      <xdr:col>20</xdr:col>
      <xdr:colOff>1090893</xdr:colOff>
      <xdr:row>52</xdr:row>
      <xdr:rowOff>132334</xdr:rowOff>
    </xdr:from>
    <xdr:to>
      <xdr:col>21</xdr:col>
      <xdr:colOff>420726</xdr:colOff>
      <xdr:row>59</xdr:row>
      <xdr:rowOff>107577</xdr:rowOff>
    </xdr:to>
    <xdr:sp macro="" textlink="">
      <xdr:nvSpPr>
        <xdr:cNvPr id="15" name="Right Brace 14"/>
        <xdr:cNvSpPr/>
      </xdr:nvSpPr>
      <xdr:spPr>
        <a:xfrm>
          <a:off x="27608493" y="11248569"/>
          <a:ext cx="629715" cy="1230302"/>
        </a:xfrm>
        <a:prstGeom prst="rightBrace">
          <a:avLst/>
        </a:prstGeom>
        <a:ln w="50800">
          <a:solidFill>
            <a:srgbClr val="92D05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US" sz="1100"/>
        </a:p>
      </xdr:txBody>
    </xdr:sp>
    <xdr:clientData/>
  </xdr:twoCellAnchor>
  <xdr:twoCellAnchor editAs="oneCell">
    <xdr:from>
      <xdr:col>19</xdr:col>
      <xdr:colOff>204967</xdr:colOff>
      <xdr:row>35</xdr:row>
      <xdr:rowOff>155863</xdr:rowOff>
    </xdr:from>
    <xdr:to>
      <xdr:col>19</xdr:col>
      <xdr:colOff>904215</xdr:colOff>
      <xdr:row>62</xdr:row>
      <xdr:rowOff>69271</xdr:rowOff>
    </xdr:to>
    <xdr:pic>
      <xdr:nvPicPr>
        <xdr:cNvPr id="17" name="Picture 16"/>
        <xdr:cNvPicPr>
          <a:picLocks noChangeAspect="1"/>
        </xdr:cNvPicPr>
      </xdr:nvPicPr>
      <xdr:blipFill>
        <a:blip xmlns:r="http://schemas.openxmlformats.org/officeDocument/2006/relationships" r:embed="rId3" cstate="print"/>
        <a:srcRect l="10273" r="10139" b="11472"/>
        <a:stretch>
          <a:fillRect/>
        </a:stretch>
      </xdr:blipFill>
      <xdr:spPr>
        <a:xfrm rot="16200000">
          <a:off x="23232750" y="9642966"/>
          <a:ext cx="5022272" cy="699248"/>
        </a:xfrm>
        <a:prstGeom prst="rect">
          <a:avLst/>
        </a:prstGeom>
      </xdr:spPr>
    </xdr:pic>
    <xdr:clientData/>
  </xdr:twoCellAnchor>
  <xdr:twoCellAnchor>
    <xdr:from>
      <xdr:col>26</xdr:col>
      <xdr:colOff>401320</xdr:colOff>
      <xdr:row>34</xdr:row>
      <xdr:rowOff>25400</xdr:rowOff>
    </xdr:from>
    <xdr:to>
      <xdr:col>28</xdr:col>
      <xdr:colOff>91440</xdr:colOff>
      <xdr:row>35</xdr:row>
      <xdr:rowOff>111760</xdr:rowOff>
    </xdr:to>
    <xdr:sp macro="" textlink="">
      <xdr:nvSpPr>
        <xdr:cNvPr id="9" name="TextBox 8"/>
        <xdr:cNvSpPr txBox="1"/>
      </xdr:nvSpPr>
      <xdr:spPr>
        <a:xfrm>
          <a:off x="33451800" y="7218680"/>
          <a:ext cx="909320" cy="269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t"/>
        <a:lstStyle/>
        <a:p>
          <a:r>
            <a:rPr lang="en-US" sz="1800"/>
            <a:t>Efficiency</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0.0995</cdr:x>
      <cdr:y>0.06507</cdr:y>
    </cdr:from>
    <cdr:to>
      <cdr:x>0.96788</cdr:x>
      <cdr:y>0.12223</cdr:y>
    </cdr:to>
    <cdr:sp macro="" textlink="">
      <cdr:nvSpPr>
        <cdr:cNvPr id="2" name="TextBox 5"/>
        <cdr:cNvSpPr txBox="1"/>
      </cdr:nvSpPr>
      <cdr:spPr>
        <a:xfrm xmlns:a="http://schemas.openxmlformats.org/drawingml/2006/main">
          <a:off x="983462" y="488351"/>
          <a:ext cx="8583099" cy="428987"/>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pPr algn="ctr" rtl="0">
            <a:defRPr sz="3200" b="1" i="0" u="none" strike="noStrike" kern="1200" baseline="0">
              <a:solidFill>
                <a:sysClr val="windowText" lastClr="000000"/>
              </a:solidFill>
              <a:latin typeface="Calibri"/>
            </a:defRPr>
          </a:pPr>
          <a:r>
            <a:rPr lang="en-US" sz="2600" baseline="0"/>
            <a:t>Sensitivity Map for 2012 Cost Structure</a:t>
          </a:r>
          <a:endParaRPr lang="en-US" sz="2600"/>
        </a:p>
      </cdr:txBody>
    </cdr:sp>
  </cdr:relSizeAnchor>
  <cdr:relSizeAnchor xmlns:cdr="http://schemas.openxmlformats.org/drawingml/2006/chartDrawing">
    <cdr:from>
      <cdr:x>0.39029</cdr:x>
      <cdr:y>0.43289</cdr:y>
    </cdr:from>
    <cdr:to>
      <cdr:x>0.51364</cdr:x>
      <cdr:y>0.46934</cdr:y>
    </cdr:to>
    <cdr:sp macro="" textlink="">
      <cdr:nvSpPr>
        <cdr:cNvPr id="3" name="TextBox 8"/>
        <cdr:cNvSpPr txBox="1"/>
      </cdr:nvSpPr>
      <cdr:spPr>
        <a:xfrm xmlns:a="http://schemas.openxmlformats.org/drawingml/2006/main">
          <a:off x="3870959" y="3393440"/>
          <a:ext cx="1223414" cy="285676"/>
        </a:xfrm>
        <a:prstGeom xmlns:a="http://schemas.openxmlformats.org/drawingml/2006/main" prst="rect">
          <a:avLst/>
        </a:prstGeom>
        <a:solidFill xmlns:a="http://schemas.openxmlformats.org/drawingml/2006/main">
          <a:sysClr val="window" lastClr="FFFFFF"/>
        </a:solidFill>
        <a:ln xmlns:a="http://schemas.openxmlformats.org/drawingml/2006/main" w="9525" cmpd="sng">
          <a:noFill/>
        </a:ln>
        <a:effectLst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t"/>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r>
            <a:rPr lang="en-US" sz="1800"/>
            <a:t>Depreciation</a:t>
          </a:r>
        </a:p>
      </cdr:txBody>
    </cdr:sp>
  </cdr:relSizeAnchor>
</c:userShapes>
</file>

<file path=xl/drawings/drawing5.xml><?xml version="1.0" encoding="utf-8"?>
<xdr:wsDr xmlns:xdr="http://schemas.openxmlformats.org/drawingml/2006/spreadsheetDrawing" xmlns:a="http://schemas.openxmlformats.org/drawingml/2006/main">
  <xdr:twoCellAnchor>
    <xdr:from>
      <xdr:col>8</xdr:col>
      <xdr:colOff>1257300</xdr:colOff>
      <xdr:row>0</xdr:row>
      <xdr:rowOff>114301</xdr:rowOff>
    </xdr:from>
    <xdr:to>
      <xdr:col>16</xdr:col>
      <xdr:colOff>393700</xdr:colOff>
      <xdr:row>24</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1257300</xdr:colOff>
      <xdr:row>0</xdr:row>
      <xdr:rowOff>114301</xdr:rowOff>
    </xdr:from>
    <xdr:to>
      <xdr:col>16</xdr:col>
      <xdr:colOff>393700</xdr:colOff>
      <xdr:row>24</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1257300</xdr:colOff>
      <xdr:row>0</xdr:row>
      <xdr:rowOff>114301</xdr:rowOff>
    </xdr:from>
    <xdr:to>
      <xdr:col>16</xdr:col>
      <xdr:colOff>393700</xdr:colOff>
      <xdr:row>24</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1257300</xdr:colOff>
      <xdr:row>0</xdr:row>
      <xdr:rowOff>114301</xdr:rowOff>
    </xdr:from>
    <xdr:to>
      <xdr:col>16</xdr:col>
      <xdr:colOff>393700</xdr:colOff>
      <xdr:row>24</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8</xdr:col>
      <xdr:colOff>1257300</xdr:colOff>
      <xdr:row>0</xdr:row>
      <xdr:rowOff>114301</xdr:rowOff>
    </xdr:from>
    <xdr:to>
      <xdr:col>16</xdr:col>
      <xdr:colOff>393700</xdr:colOff>
      <xdr:row>24</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dimension ref="A1:E64"/>
  <sheetViews>
    <sheetView tabSelected="1" zoomScale="80" zoomScaleNormal="80" workbookViewId="0">
      <selection activeCell="C2" sqref="C2"/>
    </sheetView>
  </sheetViews>
  <sheetFormatPr defaultRowHeight="14.4"/>
  <cols>
    <col min="1" max="1" width="8.88671875" style="311"/>
    <col min="2" max="2" width="20.21875" style="311" customWidth="1"/>
    <col min="3" max="3" width="59.44140625" style="311" customWidth="1"/>
    <col min="4" max="5" width="71.109375" style="311" customWidth="1"/>
    <col min="6" max="6" width="8.88671875" style="311"/>
    <col min="7" max="7" width="22.88671875" style="311" customWidth="1"/>
    <col min="8" max="8" width="29.44140625" style="311" customWidth="1"/>
    <col min="9" max="11" width="20" style="311" customWidth="1"/>
    <col min="12" max="15" width="15.88671875" style="311" customWidth="1"/>
    <col min="16" max="16384" width="8.88671875" style="311"/>
  </cols>
  <sheetData>
    <row r="1" spans="1:5" ht="31.2">
      <c r="A1" s="882" t="s">
        <v>257</v>
      </c>
    </row>
    <row r="2" spans="1:5">
      <c r="A2" s="890" t="s">
        <v>262</v>
      </c>
      <c r="C2" s="311" t="s">
        <v>272</v>
      </c>
    </row>
    <row r="3" spans="1:5">
      <c r="A3" s="311" t="s">
        <v>56</v>
      </c>
      <c r="C3" s="903" t="s">
        <v>273</v>
      </c>
    </row>
    <row r="4" spans="1:5">
      <c r="A4" s="903" t="s">
        <v>259</v>
      </c>
    </row>
    <row r="6" spans="1:5" ht="21.6" thickBot="1">
      <c r="B6" s="883" t="s">
        <v>245</v>
      </c>
      <c r="E6" s="320"/>
    </row>
    <row r="7" spans="1:5" ht="15" thickBot="1">
      <c r="B7" s="310" t="s">
        <v>148</v>
      </c>
      <c r="C7" s="310" t="s">
        <v>144</v>
      </c>
      <c r="D7" s="310" t="s">
        <v>41</v>
      </c>
      <c r="E7" s="804"/>
    </row>
    <row r="8" spans="1:5" ht="30.6" customHeight="1">
      <c r="B8" s="825" t="s">
        <v>36</v>
      </c>
      <c r="C8" s="824" t="s">
        <v>147</v>
      </c>
      <c r="D8" s="824" t="s">
        <v>158</v>
      </c>
      <c r="E8" s="806"/>
    </row>
    <row r="9" spans="1:5" ht="30.6" customHeight="1">
      <c r="B9" s="805" t="s">
        <v>192</v>
      </c>
      <c r="C9" s="875" t="s">
        <v>246</v>
      </c>
      <c r="D9" s="314" t="s">
        <v>160</v>
      </c>
      <c r="E9" s="806"/>
    </row>
    <row r="10" spans="1:5" ht="30.6" customHeight="1">
      <c r="B10" s="826" t="s">
        <v>126</v>
      </c>
      <c r="C10" s="314" t="s">
        <v>154</v>
      </c>
      <c r="D10" s="314" t="s">
        <v>150</v>
      </c>
      <c r="E10" s="806"/>
    </row>
    <row r="11" spans="1:5" ht="30.6" customHeight="1">
      <c r="B11" s="315" t="s">
        <v>37</v>
      </c>
      <c r="C11" s="314" t="s">
        <v>145</v>
      </c>
      <c r="D11" s="314" t="s">
        <v>159</v>
      </c>
      <c r="E11" s="806"/>
    </row>
    <row r="12" spans="1:5" ht="30.6" customHeight="1">
      <c r="B12" s="315" t="s">
        <v>81</v>
      </c>
      <c r="C12" s="314" t="s">
        <v>146</v>
      </c>
      <c r="D12" s="314" t="s">
        <v>161</v>
      </c>
      <c r="E12" s="806"/>
    </row>
    <row r="13" spans="1:5" ht="30.6" customHeight="1">
      <c r="B13" s="315" t="s">
        <v>42</v>
      </c>
      <c r="C13" s="313" t="s">
        <v>232</v>
      </c>
      <c r="D13" s="313" t="s">
        <v>233</v>
      </c>
      <c r="E13" s="807"/>
    </row>
    <row r="14" spans="1:5" ht="30.6" customHeight="1">
      <c r="B14" s="315" t="s">
        <v>82</v>
      </c>
      <c r="C14" s="314" t="s">
        <v>165</v>
      </c>
      <c r="D14" s="314" t="s">
        <v>162</v>
      </c>
      <c r="E14" s="806"/>
    </row>
    <row r="15" spans="1:5" ht="30.6" customHeight="1">
      <c r="B15" s="315" t="s">
        <v>112</v>
      </c>
      <c r="C15" s="314" t="s">
        <v>166</v>
      </c>
      <c r="D15" s="314" t="s">
        <v>162</v>
      </c>
      <c r="E15" s="806"/>
    </row>
    <row r="16" spans="1:5" ht="30.6" customHeight="1">
      <c r="B16" s="315" t="s">
        <v>15</v>
      </c>
      <c r="C16" s="875" t="s">
        <v>247</v>
      </c>
      <c r="D16" s="875" t="s">
        <v>263</v>
      </c>
      <c r="E16" s="806"/>
    </row>
    <row r="17" spans="2:5" ht="30.6" customHeight="1">
      <c r="B17" s="315" t="s">
        <v>12</v>
      </c>
      <c r="C17" s="875" t="s">
        <v>248</v>
      </c>
      <c r="D17" s="875" t="s">
        <v>264</v>
      </c>
      <c r="E17" s="806"/>
    </row>
    <row r="18" spans="2:5" ht="30.6" customHeight="1">
      <c r="B18" s="315" t="s">
        <v>10</v>
      </c>
      <c r="C18" s="875" t="s">
        <v>249</v>
      </c>
      <c r="D18" s="875" t="s">
        <v>263</v>
      </c>
      <c r="E18" s="806"/>
    </row>
    <row r="19" spans="2:5" ht="30.6" customHeight="1">
      <c r="B19" s="315" t="s">
        <v>13</v>
      </c>
      <c r="C19" s="875" t="s">
        <v>250</v>
      </c>
      <c r="D19" s="875" t="s">
        <v>265</v>
      </c>
      <c r="E19" s="806"/>
    </row>
    <row r="20" spans="2:5" ht="30.6" customHeight="1">
      <c r="B20" s="805" t="s">
        <v>176</v>
      </c>
      <c r="C20" s="875" t="s">
        <v>251</v>
      </c>
      <c r="D20" s="313" t="s">
        <v>239</v>
      </c>
      <c r="E20" s="806"/>
    </row>
    <row r="21" spans="2:5" ht="30.6" customHeight="1">
      <c r="B21" s="315" t="s">
        <v>11</v>
      </c>
      <c r="C21" s="875" t="s">
        <v>252</v>
      </c>
      <c r="D21" s="875" t="s">
        <v>263</v>
      </c>
      <c r="E21" s="806"/>
    </row>
    <row r="22" spans="2:5" ht="30.6" customHeight="1">
      <c r="B22" s="315" t="s">
        <v>38</v>
      </c>
      <c r="C22" s="313" t="s">
        <v>149</v>
      </c>
      <c r="D22" s="314" t="s">
        <v>153</v>
      </c>
      <c r="E22" s="806"/>
    </row>
    <row r="23" spans="2:5" ht="30.6" customHeight="1">
      <c r="B23" s="315" t="s">
        <v>14</v>
      </c>
      <c r="C23" s="875" t="s">
        <v>253</v>
      </c>
      <c r="D23" s="875" t="s">
        <v>263</v>
      </c>
      <c r="E23" s="806"/>
    </row>
    <row r="24" spans="2:5" ht="30.6" customHeight="1">
      <c r="B24" s="315" t="s">
        <v>29</v>
      </c>
      <c r="C24" s="875" t="s">
        <v>243</v>
      </c>
      <c r="D24" s="875" t="s">
        <v>244</v>
      </c>
      <c r="E24" s="806"/>
    </row>
    <row r="25" spans="2:5" ht="30.6" customHeight="1">
      <c r="B25" s="827" t="s">
        <v>77</v>
      </c>
      <c r="C25" s="881" t="s">
        <v>254</v>
      </c>
      <c r="D25" s="823" t="s">
        <v>163</v>
      </c>
      <c r="E25" s="806"/>
    </row>
    <row r="26" spans="2:5" ht="30.6" customHeight="1">
      <c r="B26" s="315" t="s">
        <v>73</v>
      </c>
      <c r="C26" s="314" t="s">
        <v>164</v>
      </c>
      <c r="D26" s="875" t="s">
        <v>255</v>
      </c>
      <c r="E26" s="806"/>
    </row>
    <row r="27" spans="2:5" ht="30.6" customHeight="1" thickBot="1">
      <c r="B27" s="317" t="s">
        <v>76</v>
      </c>
      <c r="C27" s="316" t="s">
        <v>152</v>
      </c>
      <c r="D27" s="316" t="s">
        <v>151</v>
      </c>
      <c r="E27" s="806"/>
    </row>
    <row r="28" spans="2:5" ht="30.6" customHeight="1">
      <c r="E28" s="806"/>
    </row>
    <row r="29" spans="2:5">
      <c r="E29" s="320"/>
    </row>
    <row r="30" spans="2:5">
      <c r="E30" s="320"/>
    </row>
    <row r="42" ht="30.6" customHeight="1"/>
    <row r="64" ht="32.4" customHeight="1"/>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1"/>
  <dimension ref="A1:BA333"/>
  <sheetViews>
    <sheetView zoomScale="60" zoomScaleNormal="60" workbookViewId="0"/>
  </sheetViews>
  <sheetFormatPr defaultRowHeight="14.4"/>
  <cols>
    <col min="1" max="1" width="27.6640625" customWidth="1"/>
    <col min="2" max="2" width="27.6640625" style="110" customWidth="1"/>
    <col min="3" max="6" width="23.77734375" customWidth="1"/>
    <col min="7" max="7" width="30.44140625" customWidth="1"/>
    <col min="8" max="8" width="21" customWidth="1"/>
    <col min="9" max="9" width="15.44140625" style="4" hidden="1" customWidth="1"/>
    <col min="10" max="10" width="28.5546875" hidden="1" customWidth="1"/>
    <col min="11" max="11" width="14.33203125" hidden="1" customWidth="1"/>
    <col min="12" max="13" width="14.44140625" hidden="1" customWidth="1"/>
    <col min="14" max="14" width="21.44140625" hidden="1" customWidth="1"/>
    <col min="21" max="21" width="20.6640625" customWidth="1"/>
    <col min="22" max="22" width="27.33203125" customWidth="1"/>
    <col min="23" max="26" width="20.6640625" customWidth="1"/>
    <col min="34" max="51" width="3.109375" customWidth="1"/>
  </cols>
  <sheetData>
    <row r="1" spans="1:31" ht="31.2">
      <c r="A1" s="889" t="s">
        <v>143</v>
      </c>
      <c r="B1" s="126"/>
      <c r="G1" s="834"/>
      <c r="H1" s="526"/>
      <c r="I1" s="526"/>
      <c r="J1" s="526"/>
      <c r="K1" s="526"/>
      <c r="L1" s="526"/>
      <c r="M1" s="526"/>
      <c r="N1" s="526"/>
      <c r="O1" s="526"/>
    </row>
    <row r="2" spans="1:31">
      <c r="A2" s="890" t="s">
        <v>262</v>
      </c>
      <c r="B2" s="30"/>
      <c r="G2" s="526"/>
      <c r="H2" s="526"/>
      <c r="I2" s="526"/>
      <c r="J2" s="526"/>
      <c r="K2" s="526"/>
      <c r="L2" s="526"/>
      <c r="M2" s="526"/>
      <c r="N2" s="526"/>
      <c r="O2" s="526"/>
    </row>
    <row r="3" spans="1:31" s="13" customFormat="1">
      <c r="A3" s="859" t="s">
        <v>56</v>
      </c>
      <c r="B3" s="110"/>
      <c r="D3" s="110"/>
      <c r="G3" s="526"/>
      <c r="H3" s="526"/>
      <c r="I3" s="526"/>
      <c r="J3" s="526"/>
      <c r="K3" s="526"/>
      <c r="L3" s="526"/>
      <c r="M3" s="526"/>
      <c r="N3" s="526"/>
      <c r="O3" s="526"/>
    </row>
    <row r="4" spans="1:31" s="13" customFormat="1" ht="13.8" customHeight="1">
      <c r="A4" s="897" t="s">
        <v>259</v>
      </c>
      <c r="B4" s="1"/>
      <c r="G4" s="526"/>
      <c r="H4" s="835"/>
      <c r="I4" s="526"/>
      <c r="J4" s="526"/>
      <c r="K4" s="526"/>
      <c r="L4" s="526"/>
      <c r="M4" s="526"/>
      <c r="N4" s="526"/>
      <c r="O4" s="526"/>
      <c r="AB4" s="110"/>
    </row>
    <row r="5" spans="1:31" s="13" customFormat="1">
      <c r="A5" s="110"/>
      <c r="B5" s="110"/>
      <c r="G5" s="526"/>
      <c r="H5" s="526"/>
      <c r="I5" s="526"/>
      <c r="J5" s="526"/>
      <c r="K5" s="526"/>
      <c r="L5" s="526"/>
      <c r="M5" s="526"/>
      <c r="N5" s="526"/>
      <c r="O5" s="526"/>
    </row>
    <row r="6" spans="1:31">
      <c r="G6" s="526"/>
      <c r="H6" s="526"/>
      <c r="I6" s="541"/>
      <c r="J6" s="541"/>
      <c r="K6" s="541"/>
      <c r="L6" s="541"/>
      <c r="M6" s="526"/>
      <c r="N6" s="526"/>
      <c r="O6" s="526"/>
      <c r="AE6" s="110"/>
    </row>
    <row r="7" spans="1:31" ht="26.4" thickBot="1">
      <c r="B7" s="28" t="s">
        <v>78</v>
      </c>
      <c r="E7" s="14"/>
      <c r="G7" s="526"/>
      <c r="H7" s="526"/>
      <c r="I7" s="541"/>
      <c r="J7" s="541"/>
      <c r="K7" s="541"/>
      <c r="L7" s="541"/>
      <c r="M7" s="526"/>
      <c r="N7" s="526"/>
      <c r="O7" s="526"/>
      <c r="AE7" s="110"/>
    </row>
    <row r="8" spans="1:31" ht="15" thickBot="1">
      <c r="C8" s="909" t="s">
        <v>256</v>
      </c>
      <c r="D8" s="910"/>
      <c r="E8" s="911"/>
      <c r="F8" s="13"/>
      <c r="G8" s="526"/>
      <c r="H8" s="526"/>
      <c r="I8" s="541"/>
      <c r="J8" s="541"/>
      <c r="K8" s="541"/>
      <c r="L8" s="541"/>
      <c r="M8" s="526"/>
      <c r="N8" s="526"/>
      <c r="O8" s="526"/>
      <c r="AE8" s="110"/>
    </row>
    <row r="9" spans="1:31" ht="15" thickBot="1">
      <c r="B9" s="538" t="s">
        <v>58</v>
      </c>
      <c r="C9" s="872">
        <v>2012</v>
      </c>
      <c r="D9" s="873" t="s">
        <v>175</v>
      </c>
      <c r="E9" s="863" t="s">
        <v>180</v>
      </c>
      <c r="F9" s="13"/>
      <c r="G9" s="526"/>
      <c r="H9" s="526"/>
      <c r="I9" s="541"/>
      <c r="J9" s="541"/>
      <c r="K9" s="541"/>
      <c r="L9" s="541"/>
      <c r="M9" s="526"/>
      <c r="N9" s="526"/>
      <c r="O9" s="526"/>
      <c r="AE9" s="110"/>
    </row>
    <row r="10" spans="1:31">
      <c r="B10" s="415" t="s">
        <v>61</v>
      </c>
      <c r="C10" s="723">
        <f>'2012 Domestic'!C14</f>
        <v>14.5</v>
      </c>
      <c r="D10" s="870">
        <f>'2020 Advanced Domestic'!C14</f>
        <v>20.5</v>
      </c>
      <c r="E10" s="719">
        <f>'2020 LOS Domestic'!C14</f>
        <v>17</v>
      </c>
      <c r="F10" s="13"/>
      <c r="G10" s="526"/>
      <c r="H10" s="526"/>
      <c r="I10" s="541"/>
      <c r="J10" s="541"/>
      <c r="K10" s="541"/>
      <c r="L10" s="541"/>
      <c r="M10" s="526"/>
      <c r="N10" s="526"/>
      <c r="O10" s="526"/>
      <c r="AE10" s="110"/>
    </row>
    <row r="11" spans="1:31">
      <c r="B11" s="417" t="s">
        <v>155</v>
      </c>
      <c r="C11" s="724">
        <f>'2012 Domestic'!C15</f>
        <v>180</v>
      </c>
      <c r="D11" s="871">
        <f>'2020 Advanced Domestic'!C15</f>
        <v>50</v>
      </c>
      <c r="E11" s="795">
        <f>'2020 LOS Domestic'!C15</f>
        <v>120</v>
      </c>
      <c r="G11" s="526"/>
      <c r="H11" s="526"/>
      <c r="I11" s="413"/>
      <c r="J11" s="413"/>
      <c r="K11" s="413"/>
      <c r="L11" s="413"/>
      <c r="M11" s="526"/>
      <c r="N11" s="526"/>
      <c r="O11" s="526"/>
      <c r="AE11" s="110"/>
    </row>
    <row r="12" spans="1:31">
      <c r="B12" s="417" t="s">
        <v>62</v>
      </c>
      <c r="C12" s="724">
        <f>'2012 Domestic'!C16</f>
        <v>0.45</v>
      </c>
      <c r="D12" s="871">
        <f>'2020 Advanced Domestic'!C16</f>
        <v>0.9</v>
      </c>
      <c r="E12" s="795">
        <f>'2020 LOS Domestic'!C16</f>
        <v>0.55000000000000004</v>
      </c>
      <c r="G12" s="526"/>
      <c r="H12" s="526"/>
      <c r="I12" s="541"/>
      <c r="J12" s="541"/>
      <c r="K12" s="541"/>
      <c r="L12" s="541"/>
      <c r="M12" s="526"/>
      <c r="N12" s="526"/>
      <c r="O12" s="526"/>
      <c r="AE12" s="110"/>
    </row>
    <row r="13" spans="1:31">
      <c r="B13" s="417" t="s">
        <v>63</v>
      </c>
      <c r="C13" s="724">
        <f>'2012 Domestic'!C17</f>
        <v>40</v>
      </c>
      <c r="D13" s="871">
        <f>'2020 Advanced Domestic'!C17</f>
        <v>25</v>
      </c>
      <c r="E13" s="795">
        <f>'2020 LOS Domestic'!C17</f>
        <v>25</v>
      </c>
      <c r="F13" s="13"/>
      <c r="G13" s="526"/>
      <c r="H13" s="526"/>
      <c r="I13" s="541"/>
      <c r="J13" s="541"/>
      <c r="K13" s="541"/>
      <c r="L13" s="541"/>
      <c r="M13" s="526"/>
      <c r="N13" s="526"/>
      <c r="O13" s="526"/>
      <c r="AE13" s="110"/>
    </row>
    <row r="14" spans="1:31">
      <c r="B14" s="417" t="s">
        <v>64</v>
      </c>
      <c r="C14" s="724">
        <f>'2012 Domestic'!C18</f>
        <v>20.934999999999999</v>
      </c>
      <c r="D14" s="871">
        <f>'2020 Advanced Domestic'!C18</f>
        <v>24.512499999999999</v>
      </c>
      <c r="E14" s="795">
        <f>'2020 LOS Domestic'!C18</f>
        <v>24.512499999999999</v>
      </c>
      <c r="F14" s="13"/>
      <c r="G14" s="526"/>
      <c r="H14" s="526"/>
      <c r="I14" s="541"/>
      <c r="J14" s="541"/>
      <c r="K14" s="541"/>
      <c r="L14" s="541"/>
      <c r="M14" s="526"/>
      <c r="N14" s="526"/>
      <c r="O14" s="526"/>
      <c r="AE14" s="110"/>
    </row>
    <row r="15" spans="1:31">
      <c r="B15" s="417" t="s">
        <v>156</v>
      </c>
      <c r="C15" s="546">
        <f>'2012 Domestic'!C19</f>
        <v>7.0000000000000007E-2</v>
      </c>
      <c r="D15" s="862">
        <f>'2020 Advanced Domestic'!C19</f>
        <v>0.09</v>
      </c>
      <c r="E15" s="725">
        <f>'2020 LOS Domestic'!C19</f>
        <v>0.09</v>
      </c>
      <c r="G15" s="526"/>
      <c r="H15" s="526"/>
      <c r="I15" s="541"/>
      <c r="J15" s="541"/>
      <c r="K15" s="541"/>
      <c r="L15" s="541"/>
      <c r="M15" s="526"/>
      <c r="N15" s="526"/>
      <c r="O15" s="526"/>
      <c r="AE15" s="110"/>
    </row>
    <row r="16" spans="1:31" s="542" customFormat="1" ht="13.8" customHeight="1" thickBot="1">
      <c r="B16" s="832" t="s">
        <v>71</v>
      </c>
      <c r="C16" s="833">
        <f>'2012 Domestic'!C20</f>
        <v>0</v>
      </c>
      <c r="D16" s="888">
        <f>'2020 Advanced Domestic'!C20</f>
        <v>0</v>
      </c>
      <c r="E16" s="796">
        <f>'2020 LOS Domestic'!C20</f>
        <v>0</v>
      </c>
      <c r="G16" s="549"/>
      <c r="H16" s="549"/>
      <c r="I16" s="549"/>
      <c r="J16" s="549"/>
      <c r="K16" s="549"/>
      <c r="L16" s="549"/>
      <c r="M16" s="549"/>
      <c r="N16" s="549"/>
      <c r="O16" s="549"/>
    </row>
    <row r="17" spans="2:31">
      <c r="E17" s="12"/>
      <c r="G17" s="526"/>
      <c r="H17" s="412"/>
      <c r="I17" s="836"/>
      <c r="J17" s="836"/>
      <c r="K17" s="836"/>
      <c r="L17" s="836"/>
      <c r="M17" s="526"/>
      <c r="N17" s="526"/>
      <c r="O17" s="526"/>
      <c r="AE17" s="110"/>
    </row>
    <row r="18" spans="2:31">
      <c r="B18" s="13"/>
      <c r="C18" s="13"/>
      <c r="D18" s="13"/>
      <c r="E18" s="12"/>
      <c r="F18" s="13"/>
      <c r="G18" s="526"/>
      <c r="H18" s="526"/>
      <c r="I18" s="413"/>
      <c r="J18" s="413"/>
      <c r="K18" s="413"/>
      <c r="L18" s="413"/>
      <c r="M18" s="526"/>
      <c r="N18" s="526"/>
      <c r="O18" s="526"/>
      <c r="AE18" s="110"/>
    </row>
    <row r="19" spans="2:31">
      <c r="B19" s="13"/>
      <c r="C19" s="13"/>
      <c r="D19" s="13"/>
      <c r="E19" s="144"/>
      <c r="F19" s="13"/>
      <c r="G19" s="526"/>
      <c r="H19" s="414"/>
      <c r="I19" s="413"/>
      <c r="J19" s="413"/>
      <c r="K19" s="413"/>
      <c r="L19" s="413"/>
      <c r="M19" s="526"/>
      <c r="N19" s="526"/>
      <c r="O19" s="526"/>
      <c r="AE19" s="110"/>
    </row>
    <row r="20" spans="2:31" ht="26.4" thickBot="1">
      <c r="B20" s="28" t="s">
        <v>59</v>
      </c>
      <c r="E20" s="144"/>
      <c r="F20" s="13"/>
      <c r="G20" s="526"/>
      <c r="H20" s="414"/>
      <c r="I20" s="413"/>
      <c r="J20" s="413"/>
      <c r="K20" s="413"/>
      <c r="L20" s="413"/>
      <c r="M20" s="526"/>
      <c r="N20" s="526"/>
      <c r="O20" s="526"/>
      <c r="AE20" s="110"/>
    </row>
    <row r="21" spans="2:31" s="13" customFormat="1" ht="15" thickBot="1">
      <c r="B21" s="111"/>
      <c r="C21" s="818">
        <f>C9</f>
        <v>2012</v>
      </c>
      <c r="D21" s="878" t="str">
        <f>D9</f>
        <v>2020 Adv. Concept</v>
      </c>
      <c r="E21" s="816" t="str">
        <f>E9</f>
        <v>2020 LOS</v>
      </c>
      <c r="F21"/>
      <c r="G21" s="526"/>
      <c r="H21" s="526"/>
      <c r="I21" s="413"/>
      <c r="J21" s="413"/>
      <c r="K21" s="413"/>
      <c r="L21" s="413"/>
      <c r="M21" s="526"/>
      <c r="N21" s="526"/>
      <c r="O21" s="526"/>
      <c r="AE21" s="110"/>
    </row>
    <row r="22" spans="2:31" ht="15" thickBot="1">
      <c r="B22" s="395" t="s">
        <v>142</v>
      </c>
      <c r="C22" s="822">
        <f>'2012 Domestic'!C24</f>
        <v>6.36464946792311</v>
      </c>
      <c r="D22" s="880">
        <f>'2020 Advanced Domestic'!C24</f>
        <v>0.61236167980220158</v>
      </c>
      <c r="E22" s="817">
        <f>'2020 LOS Domestic'!C24</f>
        <v>2.9610936027235844</v>
      </c>
      <c r="G22" s="526"/>
      <c r="H22" s="526"/>
      <c r="I22" s="413"/>
      <c r="J22" s="413"/>
      <c r="K22" s="413"/>
      <c r="L22" s="413"/>
      <c r="M22" s="526"/>
      <c r="N22" s="526"/>
      <c r="O22" s="526"/>
      <c r="AE22" s="110"/>
    </row>
    <row r="23" spans="2:31">
      <c r="B23" s="16"/>
      <c r="C23" s="15"/>
      <c r="D23" s="15"/>
      <c r="E23" s="131"/>
      <c r="G23" s="526"/>
      <c r="H23" s="526"/>
      <c r="I23" s="413"/>
      <c r="J23" s="413"/>
      <c r="K23" s="413"/>
      <c r="L23" s="413"/>
      <c r="M23" s="526"/>
      <c r="N23" s="526"/>
      <c r="O23" s="526"/>
      <c r="AE23" s="110"/>
    </row>
    <row r="24" spans="2:31">
      <c r="B24" s="16"/>
      <c r="C24" s="15"/>
      <c r="D24" s="15"/>
      <c r="E24" s="131"/>
      <c r="G24" s="526"/>
      <c r="H24" s="526"/>
      <c r="I24" s="413"/>
      <c r="J24" s="413"/>
      <c r="K24" s="413"/>
      <c r="L24" s="413"/>
      <c r="M24" s="526"/>
      <c r="N24" s="526"/>
      <c r="O24" s="526"/>
      <c r="AE24" s="110"/>
    </row>
    <row r="25" spans="2:31" ht="15" thickBot="1">
      <c r="B25" s="16"/>
      <c r="C25" s="15"/>
      <c r="D25" s="15"/>
      <c r="E25" s="131"/>
      <c r="G25" s="526"/>
      <c r="H25" s="526"/>
      <c r="I25" s="413"/>
      <c r="J25" s="413"/>
      <c r="K25" s="413"/>
      <c r="L25" s="413"/>
      <c r="M25" s="526"/>
      <c r="N25" s="526"/>
      <c r="O25" s="526"/>
      <c r="AE25" s="110"/>
    </row>
    <row r="26" spans="2:31">
      <c r="B26" s="111"/>
      <c r="C26" s="818">
        <f>C9</f>
        <v>2012</v>
      </c>
      <c r="D26" s="878" t="str">
        <f>D9</f>
        <v>2020 Adv. Concept</v>
      </c>
      <c r="E26" s="819" t="str">
        <f>E9</f>
        <v>2020 LOS</v>
      </c>
      <c r="G26" s="526"/>
      <c r="H26" s="526"/>
      <c r="I26" s="413"/>
      <c r="J26" s="413"/>
      <c r="K26" s="413"/>
      <c r="L26" s="413"/>
      <c r="M26" s="526"/>
      <c r="N26" s="526"/>
      <c r="O26" s="526"/>
      <c r="P26" s="111"/>
      <c r="Q26" s="12"/>
      <c r="R26" s="111"/>
      <c r="S26" s="111"/>
      <c r="T26" s="111"/>
      <c r="U26" s="111"/>
      <c r="V26" s="111"/>
    </row>
    <row r="27" spans="2:31" ht="15" thickBot="1">
      <c r="B27" s="111"/>
      <c r="C27" s="820" t="s">
        <v>8</v>
      </c>
      <c r="D27" s="879" t="s">
        <v>8</v>
      </c>
      <c r="E27" s="821" t="s">
        <v>8</v>
      </c>
      <c r="G27" s="526"/>
      <c r="H27" s="526"/>
      <c r="I27" s="413"/>
      <c r="J27" s="413"/>
      <c r="K27" s="413"/>
      <c r="L27" s="413"/>
      <c r="M27" s="526"/>
      <c r="N27" s="526"/>
      <c r="O27" s="526"/>
      <c r="P27" s="111"/>
      <c r="Q27" s="12"/>
      <c r="R27" s="324"/>
      <c r="S27" s="324"/>
      <c r="T27" s="324"/>
      <c r="U27" s="324"/>
      <c r="V27" s="111"/>
    </row>
    <row r="28" spans="2:31">
      <c r="B28" s="727" t="s">
        <v>192</v>
      </c>
      <c r="C28" s="138">
        <f>'2012 Domestic'!H29</f>
        <v>0.18081540573769869</v>
      </c>
      <c r="D28" s="865">
        <f>'2020 Advanced Domestic'!H29</f>
        <v>0.14707789710615243</v>
      </c>
      <c r="E28" s="323">
        <f>'2020 LOS Domestic'!H29</f>
        <v>0.17735864062800738</v>
      </c>
      <c r="F28" s="13"/>
      <c r="G28" s="526"/>
      <c r="H28" s="414"/>
      <c r="I28" s="413"/>
      <c r="J28" s="413"/>
      <c r="K28" s="413"/>
      <c r="L28" s="413"/>
      <c r="M28" s="526"/>
      <c r="N28" s="526"/>
      <c r="O28" s="526"/>
      <c r="P28" s="111"/>
      <c r="Q28" s="111"/>
      <c r="R28" s="15"/>
      <c r="S28" s="15"/>
      <c r="T28" s="15"/>
      <c r="U28" s="15"/>
      <c r="V28" s="111"/>
    </row>
    <row r="29" spans="2:31">
      <c r="B29" s="21" t="s">
        <v>36</v>
      </c>
      <c r="C29" s="139">
        <f>'2012 Domestic'!H28</f>
        <v>0.22872386206896561</v>
      </c>
      <c r="D29" s="862">
        <f>'2020 Advanced Domestic'!H28</f>
        <v>1.4043428184281845E-2</v>
      </c>
      <c r="E29" s="323">
        <f>'2020 LOS Domestic'!H28</f>
        <v>6.650727272727272E-2</v>
      </c>
      <c r="F29" s="13"/>
      <c r="G29" s="526"/>
      <c r="H29" s="414"/>
      <c r="I29" s="413"/>
      <c r="J29" s="413"/>
      <c r="K29" s="413"/>
      <c r="L29" s="413"/>
      <c r="M29" s="526"/>
      <c r="N29" s="526"/>
      <c r="O29" s="526"/>
      <c r="P29" s="15"/>
      <c r="Q29" s="15"/>
      <c r="R29" s="15"/>
      <c r="S29" s="15"/>
      <c r="T29" s="111"/>
    </row>
    <row r="30" spans="2:31">
      <c r="B30" s="417" t="s">
        <v>37</v>
      </c>
      <c r="C30" s="546">
        <f>'2012 Domestic'!H31</f>
        <v>0.1357945082301501</v>
      </c>
      <c r="D30" s="862">
        <f>'2020 Advanced Domestic'!H31</f>
        <v>5.8570018291980053E-2</v>
      </c>
      <c r="E30" s="323">
        <f>'2020 LOS Domestic'!H31</f>
        <v>9.3455269625360257E-2</v>
      </c>
      <c r="F30" s="13"/>
      <c r="G30" s="526"/>
      <c r="H30" s="414"/>
      <c r="I30" s="413"/>
      <c r="J30" s="413"/>
      <c r="K30" s="413"/>
      <c r="L30" s="413"/>
      <c r="M30" s="526"/>
      <c r="N30" s="526"/>
      <c r="O30" s="526"/>
      <c r="P30" s="15"/>
      <c r="Q30" s="15"/>
      <c r="R30" s="15"/>
      <c r="S30" s="15"/>
      <c r="T30" s="111"/>
    </row>
    <row r="31" spans="2:31">
      <c r="B31" s="21" t="s">
        <v>42</v>
      </c>
      <c r="C31" s="139">
        <f>'2012 Domestic'!H33</f>
        <v>0.11081283865387735</v>
      </c>
      <c r="D31" s="862">
        <f>'2020 Advanced Domestic'!H33</f>
        <v>5.3519026314523502E-2</v>
      </c>
      <c r="E31" s="27">
        <f>'2020 LOS Domestic'!H33</f>
        <v>4.6789795799976795E-2</v>
      </c>
      <c r="F31" s="13"/>
      <c r="G31" s="526"/>
      <c r="H31" s="526"/>
      <c r="I31" s="413"/>
      <c r="J31" s="413"/>
      <c r="K31" s="413"/>
      <c r="L31" s="413"/>
      <c r="M31" s="526"/>
      <c r="N31" s="526"/>
      <c r="O31" s="412"/>
      <c r="P31" s="15"/>
      <c r="Q31" s="15"/>
      <c r="R31" s="15"/>
      <c r="S31" s="15"/>
      <c r="T31" s="111"/>
    </row>
    <row r="32" spans="2:31">
      <c r="B32" s="21" t="s">
        <v>38</v>
      </c>
      <c r="C32" s="139">
        <f>'2012 Domestic'!H42</f>
        <v>8.3063051735746685E-2</v>
      </c>
      <c r="D32" s="862">
        <f>'2020 Advanced Domestic'!H42</f>
        <v>2.5708079559581321E-2</v>
      </c>
      <c r="E32" s="27">
        <f>'2020 LOS Domestic'!H42</f>
        <v>5.3790028628386943E-2</v>
      </c>
      <c r="G32" s="526"/>
      <c r="H32" s="526"/>
      <c r="I32" s="413"/>
      <c r="J32" s="413"/>
      <c r="K32" s="413"/>
      <c r="L32" s="413"/>
      <c r="M32" s="526"/>
      <c r="N32" s="526"/>
      <c r="O32" s="414"/>
      <c r="P32" s="15"/>
      <c r="Q32" s="15"/>
      <c r="R32" s="15"/>
      <c r="S32" s="15"/>
      <c r="T32" s="111"/>
    </row>
    <row r="33" spans="1:33">
      <c r="B33" s="21" t="s">
        <v>15</v>
      </c>
      <c r="C33" s="139">
        <f>'2012 Domestic'!H36</f>
        <v>7.3275862068965525E-2</v>
      </c>
      <c r="D33" s="862">
        <f>'2020 Advanced Domestic'!H36</f>
        <v>4.6775914634146334E-2</v>
      </c>
      <c r="E33" s="27">
        <f>'2020 LOS Domestic'!H36</f>
        <v>5.6406249999999984E-2</v>
      </c>
      <c r="G33" s="526"/>
      <c r="H33" s="414"/>
      <c r="I33" s="413"/>
      <c r="J33" s="413"/>
      <c r="K33" s="413"/>
      <c r="L33" s="526"/>
      <c r="M33" s="526"/>
      <c r="N33" s="526"/>
      <c r="O33" s="408"/>
      <c r="P33" s="15"/>
      <c r="Q33" s="15"/>
      <c r="R33" s="15"/>
      <c r="S33" s="15"/>
      <c r="T33" s="111"/>
      <c r="AB33" s="526"/>
      <c r="AC33" s="526"/>
      <c r="AD33" s="526"/>
      <c r="AE33" s="526"/>
    </row>
    <row r="34" spans="1:33">
      <c r="B34" s="21" t="s">
        <v>112</v>
      </c>
      <c r="C34" s="139">
        <f>'2012 Domestic'!H35</f>
        <v>6.4116132366093634E-2</v>
      </c>
      <c r="D34" s="862">
        <f>'2020 Advanced Domestic'!H35</f>
        <v>0</v>
      </c>
      <c r="E34" s="27">
        <f>'2020 LOS Domestic'!H35</f>
        <v>4.9355278657399575E-2</v>
      </c>
      <c r="F34" s="13"/>
      <c r="G34" s="526"/>
      <c r="H34" s="526"/>
      <c r="I34" s="413"/>
      <c r="J34" s="526"/>
      <c r="K34" s="413"/>
      <c r="L34" s="526"/>
      <c r="M34" s="526"/>
      <c r="N34" s="526"/>
      <c r="O34" s="414"/>
      <c r="P34" s="130"/>
      <c r="Q34" s="130"/>
      <c r="R34" s="130"/>
      <c r="S34" s="130"/>
      <c r="T34" s="111"/>
      <c r="AB34" s="526"/>
      <c r="AC34" s="526"/>
      <c r="AD34" s="526"/>
      <c r="AE34" s="526"/>
    </row>
    <row r="35" spans="1:33">
      <c r="B35" s="417" t="s">
        <v>12</v>
      </c>
      <c r="C35" s="139">
        <f>'2012 Domestic'!H37</f>
        <v>5.9997421887852433E-2</v>
      </c>
      <c r="D35" s="862">
        <f>'2020 Advanced Domestic'!H37</f>
        <v>0</v>
      </c>
      <c r="E35" s="27">
        <f>'2020 LOS Domestic'!H37</f>
        <v>4.6184780128229921E-2</v>
      </c>
      <c r="G35" s="526"/>
      <c r="H35" s="526"/>
      <c r="I35" s="526"/>
      <c r="J35" s="526"/>
      <c r="K35" s="526"/>
      <c r="L35" s="526"/>
      <c r="M35" s="526"/>
      <c r="N35" s="526"/>
      <c r="O35" s="414"/>
      <c r="P35" s="130"/>
      <c r="Q35" s="130"/>
      <c r="R35" s="130"/>
      <c r="S35" s="130"/>
      <c r="T35" s="111"/>
      <c r="AB35" s="412"/>
      <c r="AC35" s="526"/>
      <c r="AD35" s="526"/>
      <c r="AE35" s="526"/>
    </row>
    <row r="36" spans="1:33">
      <c r="B36" s="19" t="s">
        <v>176</v>
      </c>
      <c r="C36" s="139">
        <f>'2012 Domestic'!H40</f>
        <v>4.5398898184044079E-2</v>
      </c>
      <c r="D36" s="862">
        <f>'2020 Advanced Domestic'!H40</f>
        <v>1.6697936210131333E-2</v>
      </c>
      <c r="E36" s="27">
        <f>'2020 LOS Domestic'!H40</f>
        <v>3.8722589627567E-2</v>
      </c>
      <c r="G36" s="526"/>
      <c r="H36" s="526"/>
      <c r="I36" s="526"/>
      <c r="J36" s="526"/>
      <c r="K36" s="526"/>
      <c r="L36" s="526"/>
      <c r="M36" s="526"/>
      <c r="N36" s="526"/>
      <c r="O36" s="526"/>
      <c r="P36" s="15"/>
      <c r="Q36" s="15"/>
      <c r="R36" s="15"/>
      <c r="S36" s="15"/>
      <c r="T36" s="111"/>
      <c r="AB36" s="526"/>
      <c r="AC36" s="526"/>
      <c r="AD36" s="408" t="s">
        <v>185</v>
      </c>
      <c r="AE36" s="401"/>
      <c r="AF36" s="414"/>
      <c r="AG36" s="401"/>
    </row>
    <row r="37" spans="1:33">
      <c r="B37" s="416" t="s">
        <v>11</v>
      </c>
      <c r="C37" s="139">
        <f>'2012 Domestic'!H41</f>
        <v>4.9568965517241388E-2</v>
      </c>
      <c r="D37" s="862">
        <f>'2020 Advanced Domestic'!H41</f>
        <v>3.1642530487804882E-2</v>
      </c>
      <c r="E37" s="27">
        <f>'2020 LOS Domestic'!H41</f>
        <v>3.8157169117647056E-2</v>
      </c>
      <c r="G37" s="526"/>
      <c r="I37"/>
      <c r="M37" s="111"/>
      <c r="N37" s="111"/>
      <c r="O37" s="7"/>
      <c r="P37" s="15"/>
      <c r="Q37" s="15"/>
      <c r="R37" s="15"/>
      <c r="S37" s="15"/>
      <c r="T37" s="111"/>
      <c r="AB37" s="526"/>
      <c r="AC37" s="526"/>
      <c r="AD37" s="814" t="s">
        <v>237</v>
      </c>
      <c r="AE37" s="488" t="s">
        <v>193</v>
      </c>
      <c r="AF37" s="811" t="s">
        <v>186</v>
      </c>
      <c r="AG37" s="812" t="s">
        <v>187</v>
      </c>
    </row>
    <row r="38" spans="1:33">
      <c r="B38" s="417" t="s">
        <v>28</v>
      </c>
      <c r="C38" s="139">
        <f>'2012 Domestic'!H32</f>
        <v>5.1310585537598104E-2</v>
      </c>
      <c r="D38" s="862">
        <f>'2020 Advanced Domestic'!H32</f>
        <v>2.8104170395716839E-2</v>
      </c>
      <c r="E38" s="27">
        <f>'2020 LOS Domestic'!H32</f>
        <v>5.023155228064171E-2</v>
      </c>
      <c r="G38" s="526"/>
      <c r="I38"/>
      <c r="M38" s="111"/>
      <c r="N38" s="111"/>
      <c r="O38" s="16"/>
      <c r="P38" s="15"/>
      <c r="Q38" s="15"/>
      <c r="R38" s="15"/>
      <c r="S38" s="15"/>
      <c r="T38" s="111"/>
      <c r="AB38" s="526"/>
      <c r="AC38" s="526"/>
      <c r="AD38" s="405">
        <f>C26</f>
        <v>2012</v>
      </c>
      <c r="AE38" s="526">
        <v>0.05</v>
      </c>
      <c r="AF38" s="414">
        <f>AE38*C48</f>
        <v>6.4635902977377771E-2</v>
      </c>
      <c r="AG38" s="813">
        <f>AF38</f>
        <v>6.4635902977377771E-2</v>
      </c>
    </row>
    <row r="39" spans="1:33">
      <c r="B39" s="416" t="s">
        <v>126</v>
      </c>
      <c r="C39" s="139">
        <f>'2012 Domestic'!H30</f>
        <v>5.3564503388651513E-2</v>
      </c>
      <c r="D39" s="862">
        <f>'2020 Advanced Domestic'!H30</f>
        <v>3.7677807328256138E-2</v>
      </c>
      <c r="E39" s="27">
        <f>'2020 LOS Domestic'!H30</f>
        <v>4.7417779696482462E-2</v>
      </c>
      <c r="G39" s="526"/>
      <c r="I39"/>
      <c r="M39" s="111"/>
      <c r="N39" s="111"/>
      <c r="O39" s="16"/>
      <c r="P39" s="15"/>
      <c r="Q39" s="15"/>
      <c r="R39" s="15"/>
      <c r="S39" s="15"/>
      <c r="T39" s="111"/>
      <c r="AB39" s="526"/>
      <c r="AC39" s="526"/>
      <c r="AD39" s="349" t="str">
        <f>D26</f>
        <v>2020 Adv. Concept</v>
      </c>
      <c r="AE39" s="420">
        <v>0.1</v>
      </c>
      <c r="AF39" s="351">
        <f>AE39*D48</f>
        <v>5.2266162558574553E-2</v>
      </c>
      <c r="AG39" s="353">
        <f t="shared" ref="AG39" si="0">AF39</f>
        <v>5.2266162558574553E-2</v>
      </c>
    </row>
    <row r="40" spans="1:33">
      <c r="B40" s="416" t="s">
        <v>13</v>
      </c>
      <c r="C40" s="139">
        <f>'2012 Domestic'!H39</f>
        <v>0.04</v>
      </c>
      <c r="D40" s="862">
        <f>'2020 Advanced Domestic'!H39</f>
        <v>3.61E-2</v>
      </c>
      <c r="E40" s="27">
        <f>'2020 LOS Domestic'!H39</f>
        <v>3.61E-2</v>
      </c>
      <c r="G40" s="526"/>
      <c r="I40"/>
      <c r="M40" s="111"/>
      <c r="N40" s="111"/>
      <c r="O40" s="16"/>
      <c r="P40" s="15"/>
      <c r="Q40" s="15"/>
      <c r="R40" s="15"/>
      <c r="S40" s="15"/>
      <c r="T40" s="111"/>
      <c r="AB40" s="526"/>
      <c r="AC40" s="526"/>
      <c r="AD40" s="526"/>
      <c r="AE40" s="526"/>
    </row>
    <row r="41" spans="1:33">
      <c r="B41" s="21" t="s">
        <v>10</v>
      </c>
      <c r="C41" s="139">
        <f>'2012 Domestic'!H38</f>
        <v>3.8793103448275863E-2</v>
      </c>
      <c r="D41" s="862">
        <f>'2020 Advanced Domestic'!H38</f>
        <v>2.476371951219512E-2</v>
      </c>
      <c r="E41" s="27">
        <f>'2020 LOS Domestic'!H38</f>
        <v>2.9862132352941169E-2</v>
      </c>
      <c r="G41" s="526"/>
      <c r="I41"/>
      <c r="M41" s="111"/>
      <c r="N41" s="111"/>
      <c r="O41" s="16"/>
      <c r="P41" s="15"/>
      <c r="Q41" s="15"/>
      <c r="R41" s="15"/>
      <c r="S41" s="15"/>
      <c r="T41" s="111"/>
      <c r="AB41" s="526"/>
      <c r="AC41" s="526"/>
      <c r="AD41" s="526"/>
      <c r="AE41" s="526"/>
    </row>
    <row r="42" spans="1:33">
      <c r="B42" s="417" t="s">
        <v>14</v>
      </c>
      <c r="C42" s="139">
        <f>'2012 Domestic'!H43</f>
        <v>3.2327586206896554E-2</v>
      </c>
      <c r="D42" s="862">
        <f>'2020 Advanced Domestic'!H43</f>
        <v>0</v>
      </c>
      <c r="E42" s="27">
        <f>'2020 LOS Domestic'!H43</f>
        <v>2.4885110294117645E-2</v>
      </c>
      <c r="G42" s="401"/>
      <c r="I42"/>
      <c r="M42" s="111"/>
      <c r="N42" s="111"/>
      <c r="O42" s="111"/>
      <c r="P42" s="15"/>
      <c r="Q42" s="15"/>
      <c r="R42" s="15"/>
      <c r="S42" s="15"/>
      <c r="T42" s="111"/>
      <c r="AB42" s="526"/>
      <c r="AC42" s="526"/>
      <c r="AD42" s="526"/>
      <c r="AE42" s="526"/>
    </row>
    <row r="43" spans="1:33">
      <c r="B43" s="417" t="s">
        <v>82</v>
      </c>
      <c r="C43" s="139">
        <f>'2012 Domestic'!H34</f>
        <v>2.944108118851238E-2</v>
      </c>
      <c r="D43" s="862">
        <f>'2020 Advanced Domestic'!H34</f>
        <v>0</v>
      </c>
      <c r="E43" s="27">
        <f>'2020 LOS Domestic'!H34</f>
        <v>2.2663138159010006E-2</v>
      </c>
      <c r="G43" s="526"/>
      <c r="I43"/>
      <c r="M43" s="111"/>
      <c r="N43" s="111"/>
      <c r="O43" s="111"/>
      <c r="P43" s="15"/>
      <c r="Q43" s="15"/>
      <c r="R43" s="15"/>
      <c r="S43" s="15"/>
      <c r="T43" s="111"/>
      <c r="AB43" s="526"/>
      <c r="AC43" s="526"/>
      <c r="AD43" s="526"/>
      <c r="AE43" s="526"/>
    </row>
    <row r="44" spans="1:33">
      <c r="B44" s="21" t="s">
        <v>77</v>
      </c>
      <c r="C44" s="139">
        <f>'2012 Domestic'!H45</f>
        <v>1.2610805051123355E-2</v>
      </c>
      <c r="D44" s="862">
        <f>'2020 Advanced Domestic'!H45</f>
        <v>0</v>
      </c>
      <c r="E44" s="27">
        <f>'2020 LOS Domestic'!H45</f>
        <v>9.7075380941331162E-3</v>
      </c>
      <c r="G44" s="526"/>
      <c r="I44"/>
      <c r="M44" s="111"/>
      <c r="N44" s="111"/>
      <c r="O44" s="111"/>
      <c r="P44" s="324"/>
      <c r="Q44" s="324"/>
      <c r="R44" s="324"/>
      <c r="S44" s="324"/>
      <c r="T44" s="111"/>
    </row>
    <row r="45" spans="1:33" s="401" customFormat="1">
      <c r="B45" s="416" t="s">
        <v>29</v>
      </c>
      <c r="C45" s="546">
        <f>'2012 Domestic'!H44</f>
        <v>3.1034482758620693E-3</v>
      </c>
      <c r="D45" s="862">
        <f>'2020 Advanced Domestic'!H44</f>
        <v>1.98109756097561E-3</v>
      </c>
      <c r="E45" s="422">
        <f>'2020 LOS Domestic'!H44</f>
        <v>2.3889705882352941E-3</v>
      </c>
      <c r="G45" s="526"/>
      <c r="M45" s="526"/>
      <c r="N45" s="526"/>
      <c r="O45" s="526"/>
      <c r="P45" s="726"/>
      <c r="Q45" s="726"/>
      <c r="R45" s="726"/>
      <c r="S45" s="726"/>
      <c r="T45" s="526"/>
    </row>
    <row r="46" spans="1:33">
      <c r="B46" s="309" t="s">
        <v>73</v>
      </c>
      <c r="C46" s="139">
        <f>'2012 Domestic'!H46</f>
        <v>0</v>
      </c>
      <c r="D46" s="862">
        <f>'2020 Advanced Domestic'!H46</f>
        <v>0</v>
      </c>
      <c r="E46" s="27">
        <f>'2020 LOS Domestic'!H46</f>
        <v>0</v>
      </c>
      <c r="G46" s="526"/>
      <c r="I46"/>
      <c r="M46" s="111"/>
      <c r="N46" s="12"/>
      <c r="O46" s="16"/>
      <c r="P46" s="15"/>
      <c r="Q46" s="15"/>
      <c r="R46" s="15"/>
      <c r="S46" s="15"/>
      <c r="T46" s="111"/>
    </row>
    <row r="47" spans="1:33" ht="15" thickBot="1">
      <c r="B47" s="21" t="s">
        <v>76</v>
      </c>
      <c r="C47" s="139">
        <f>'2012 Domestic'!H47</f>
        <v>0</v>
      </c>
      <c r="D47" s="862">
        <f>'2020 Advanced Domestic'!H47</f>
        <v>0</v>
      </c>
      <c r="E47" s="27">
        <f>'2020 LOS Domestic'!H47</f>
        <v>0</v>
      </c>
      <c r="G47" s="526"/>
      <c r="I47"/>
      <c r="M47" s="111"/>
      <c r="N47" s="111"/>
      <c r="O47" s="16"/>
      <c r="P47" s="15"/>
      <c r="Q47" s="15"/>
      <c r="R47" s="15"/>
      <c r="S47" s="15"/>
      <c r="T47" s="111"/>
    </row>
    <row r="48" spans="1:33" ht="15" thickBot="1">
      <c r="A48" s="411"/>
      <c r="B48" s="136" t="s">
        <v>6</v>
      </c>
      <c r="C48" s="837">
        <f>SUM(C28:C47)</f>
        <v>1.2927180595475554</v>
      </c>
      <c r="D48" s="838">
        <f>SUM(D28:D47)</f>
        <v>0.52266162558574547</v>
      </c>
      <c r="E48" s="838">
        <f>SUM(E28:E47)</f>
        <v>0.88998329640540907</v>
      </c>
      <c r="F48" s="411"/>
      <c r="G48" s="526"/>
      <c r="I48"/>
      <c r="M48" s="111"/>
      <c r="N48" s="111"/>
      <c r="O48" s="16"/>
      <c r="P48" s="15"/>
      <c r="Q48" s="15"/>
      <c r="R48" s="15"/>
      <c r="S48" s="15"/>
      <c r="T48" s="111"/>
    </row>
    <row r="49" spans="1:26">
      <c r="A49" s="411"/>
      <c r="B49" s="411"/>
      <c r="C49" s="411"/>
      <c r="D49" s="411"/>
      <c r="E49" s="411"/>
      <c r="F49" s="411"/>
      <c r="G49" s="526"/>
      <c r="I49"/>
      <c r="M49" s="111"/>
      <c r="N49" s="111"/>
      <c r="O49" s="16"/>
      <c r="P49" s="15"/>
      <c r="Q49" s="15"/>
      <c r="R49" s="15"/>
      <c r="S49" s="15"/>
      <c r="T49" s="111"/>
    </row>
    <row r="50" spans="1:26">
      <c r="A50" s="411"/>
      <c r="B50" s="411"/>
      <c r="C50" s="411"/>
      <c r="D50" s="411"/>
      <c r="E50" s="411"/>
      <c r="F50" s="411"/>
      <c r="G50" s="526"/>
      <c r="I50"/>
      <c r="M50" s="111"/>
      <c r="N50" s="111"/>
      <c r="O50" s="16"/>
      <c r="P50" s="15"/>
      <c r="Q50" s="15"/>
      <c r="R50" s="15"/>
      <c r="S50" s="15"/>
      <c r="T50" s="111"/>
    </row>
    <row r="51" spans="1:26" ht="15" thickBot="1">
      <c r="A51" s="411"/>
      <c r="B51" s="411"/>
      <c r="C51" s="908"/>
      <c r="D51" s="908"/>
      <c r="E51" s="411"/>
      <c r="F51" s="411"/>
      <c r="G51" s="526"/>
      <c r="I51"/>
      <c r="M51" s="111"/>
      <c r="N51" s="111"/>
      <c r="O51" s="16"/>
      <c r="P51" s="15"/>
      <c r="Q51" s="15"/>
      <c r="R51" s="15"/>
      <c r="S51" s="15"/>
      <c r="T51" s="111"/>
    </row>
    <row r="52" spans="1:26">
      <c r="A52" s="406"/>
      <c r="B52" s="414"/>
      <c r="C52" s="839">
        <v>2012</v>
      </c>
      <c r="D52" s="761" t="str">
        <f>D26</f>
        <v>2020 Adv. Concept</v>
      </c>
      <c r="E52" s="839" t="str">
        <f>E9</f>
        <v>2020 LOS</v>
      </c>
      <c r="F52" s="411"/>
      <c r="G52" s="526"/>
      <c r="I52"/>
      <c r="M52" s="111"/>
      <c r="N52" s="7"/>
      <c r="O52" s="16"/>
      <c r="P52" s="15"/>
      <c r="Q52" s="15"/>
      <c r="R52" s="15"/>
      <c r="S52" s="15"/>
      <c r="T52" s="111"/>
      <c r="Z52" s="110"/>
    </row>
    <row r="53" spans="1:26" ht="15" thickBot="1">
      <c r="A53" s="411"/>
      <c r="B53" s="408"/>
      <c r="C53" s="840" t="s">
        <v>8</v>
      </c>
      <c r="D53" s="841" t="s">
        <v>8</v>
      </c>
      <c r="E53" s="840" t="s">
        <v>8</v>
      </c>
      <c r="F53" s="411"/>
      <c r="G53" s="526"/>
      <c r="I53"/>
      <c r="M53" s="111"/>
      <c r="N53" s="111"/>
      <c r="O53" s="16"/>
      <c r="P53" s="15"/>
      <c r="Q53" s="15"/>
      <c r="R53" s="15"/>
      <c r="S53" s="15"/>
      <c r="T53" s="111"/>
    </row>
    <row r="54" spans="1:26" ht="15" customHeight="1">
      <c r="A54" s="411"/>
      <c r="B54" s="842" t="s">
        <v>43</v>
      </c>
      <c r="C54" s="843"/>
      <c r="D54" s="844"/>
      <c r="E54" s="843"/>
      <c r="F54" s="411"/>
      <c r="G54" s="526"/>
      <c r="I54"/>
      <c r="M54" s="111"/>
      <c r="N54" s="111"/>
      <c r="O54" s="16"/>
      <c r="P54" s="15"/>
      <c r="Q54" s="15"/>
      <c r="R54" s="15"/>
      <c r="S54" s="15"/>
      <c r="T54" s="111"/>
    </row>
    <row r="55" spans="1:26">
      <c r="A55" s="411"/>
      <c r="B55" s="36" t="s">
        <v>36</v>
      </c>
      <c r="C55" s="845">
        <f>'2012 Domestic'!J28</f>
        <v>0.22872386206896561</v>
      </c>
      <c r="D55" s="409">
        <f>'2020 Advanced Domestic'!J28</f>
        <v>1.4043428184281845E-2</v>
      </c>
      <c r="E55" s="845">
        <f>'2020 LOS Domestic'!H28</f>
        <v>6.650727272727272E-2</v>
      </c>
      <c r="F55" s="411"/>
      <c r="G55" s="526"/>
      <c r="I55"/>
      <c r="M55" s="111"/>
      <c r="N55" s="111"/>
      <c r="O55" s="16"/>
      <c r="P55" s="15"/>
      <c r="Q55" s="15"/>
      <c r="R55" s="15"/>
      <c r="S55" s="15"/>
      <c r="T55" s="111"/>
    </row>
    <row r="56" spans="1:26">
      <c r="A56" s="411"/>
      <c r="B56" s="36" t="s">
        <v>192</v>
      </c>
      <c r="C56" s="845">
        <f>'2012 Domestic'!J29</f>
        <v>8.9908448674886676E-2</v>
      </c>
      <c r="D56" s="409">
        <f>'2020 Advanced Domestic'!J29</f>
        <v>7.3132847885548052E-2</v>
      </c>
      <c r="E56" s="845">
        <f>'2020 LOS Domestic'!J29</f>
        <v>8.8189610685513842E-2</v>
      </c>
      <c r="F56" s="411"/>
      <c r="G56" s="526"/>
      <c r="I56"/>
      <c r="M56" s="111"/>
      <c r="N56" s="111"/>
      <c r="O56" s="16"/>
      <c r="P56" s="15"/>
      <c r="Q56" s="15"/>
      <c r="R56" s="15"/>
      <c r="S56" s="15"/>
      <c r="T56" s="111"/>
    </row>
    <row r="57" spans="1:26">
      <c r="A57" s="411"/>
      <c r="B57" s="36" t="s">
        <v>37</v>
      </c>
      <c r="C57" s="845">
        <f>'2012 Domestic'!J31</f>
        <v>6.8569504155818362E-2</v>
      </c>
      <c r="D57" s="409">
        <f>'2020 Advanced Domestic'!J31</f>
        <v>3.1846055573205884E-2</v>
      </c>
      <c r="E57" s="845">
        <f>'2020 LOS Domestic'!J31</f>
        <v>5.317282582132566E-2</v>
      </c>
      <c r="F57" s="411"/>
      <c r="G57" s="526"/>
      <c r="I57"/>
      <c r="M57" s="111"/>
      <c r="N57" s="111"/>
      <c r="O57" s="16"/>
      <c r="P57" s="15"/>
      <c r="Q57" s="15"/>
      <c r="R57" s="15"/>
      <c r="S57" s="15"/>
      <c r="T57" s="111"/>
    </row>
    <row r="58" spans="1:26" ht="13.2" customHeight="1">
      <c r="A58" s="411"/>
      <c r="B58" s="36" t="s">
        <v>112</v>
      </c>
      <c r="C58" s="845">
        <f>'2012 Domestic'!J35</f>
        <v>6.4116132366093634E-2</v>
      </c>
      <c r="D58" s="846">
        <f>'2020 Advanced Domestic'!J35</f>
        <v>0</v>
      </c>
      <c r="E58" s="845">
        <f>'2020 LOS Domestic'!H35</f>
        <v>4.9355278657399575E-2</v>
      </c>
      <c r="F58" s="411"/>
      <c r="G58" s="526"/>
      <c r="I58"/>
      <c r="M58" s="111"/>
      <c r="N58" s="111"/>
      <c r="O58" s="16"/>
      <c r="P58" s="15"/>
      <c r="Q58" s="15"/>
      <c r="R58" s="15"/>
      <c r="S58" s="15"/>
      <c r="T58" s="111"/>
    </row>
    <row r="59" spans="1:26">
      <c r="A59" s="411"/>
      <c r="B59" s="36" t="s">
        <v>82</v>
      </c>
      <c r="C59" s="845">
        <f>'2012 Domestic'!J34</f>
        <v>2.944108118851238E-2</v>
      </c>
      <c r="D59" s="846">
        <f>'2020 Advanced Domestic'!J34</f>
        <v>0</v>
      </c>
      <c r="E59" s="845">
        <f>'2020 LOS Domestic'!H34</f>
        <v>2.2663138159010006E-2</v>
      </c>
      <c r="F59" s="411"/>
      <c r="G59" s="526"/>
      <c r="I59"/>
      <c r="M59" s="111"/>
      <c r="N59" s="7"/>
      <c r="O59" s="16"/>
      <c r="P59" s="15"/>
      <c r="Q59" s="15"/>
      <c r="R59" s="15"/>
      <c r="S59" s="15"/>
      <c r="T59" s="111"/>
    </row>
    <row r="60" spans="1:26">
      <c r="A60" s="411"/>
      <c r="B60" s="847" t="s">
        <v>126</v>
      </c>
      <c r="C60" s="845">
        <f>'2012 Domestic'!J30</f>
        <v>2.6612283970982815E-2</v>
      </c>
      <c r="D60" s="409">
        <f>'2020 Advanced Domestic'!J30</f>
        <v>1.7892002276664092E-2</v>
      </c>
      <c r="E60" s="845">
        <f>'2020 LOS Domestic'!J30</f>
        <v>2.3558426546033229E-2</v>
      </c>
      <c r="F60" s="411"/>
      <c r="G60" s="526"/>
      <c r="I60"/>
      <c r="M60" s="111"/>
      <c r="N60" s="111"/>
      <c r="O60" s="16"/>
      <c r="P60" s="15"/>
      <c r="Q60" s="15"/>
      <c r="R60" s="15"/>
      <c r="S60" s="15"/>
      <c r="T60" s="111"/>
    </row>
    <row r="61" spans="1:26">
      <c r="A61" s="411"/>
      <c r="B61" s="36" t="s">
        <v>38</v>
      </c>
      <c r="C61" s="845">
        <f>'2012 Domestic'!J42</f>
        <v>2.7977377569732953E-2</v>
      </c>
      <c r="D61" s="409">
        <f>'2020 Advanced Domestic'!J42</f>
        <v>4.3411204502882272E-3</v>
      </c>
      <c r="E61" s="845">
        <f>'2020 LOS Domestic'!J42</f>
        <v>1.7049807377437609E-2</v>
      </c>
      <c r="F61" s="411"/>
      <c r="G61" s="526"/>
      <c r="I61"/>
      <c r="M61" s="111"/>
      <c r="N61" s="111"/>
      <c r="O61" s="16"/>
      <c r="P61" s="15"/>
      <c r="Q61" s="15"/>
      <c r="R61" s="15"/>
      <c r="S61" s="15"/>
      <c r="T61" s="111"/>
    </row>
    <row r="62" spans="1:26" ht="15" thickBot="1">
      <c r="A62" s="411"/>
      <c r="B62" s="848" t="s">
        <v>28</v>
      </c>
      <c r="C62" s="849">
        <f>'2012 Domestic'!J32</f>
        <v>2.4198861399667065E-2</v>
      </c>
      <c r="D62" s="850">
        <f>'2020 Advanced Domestic'!J32</f>
        <v>3.4485606396192753E-3</v>
      </c>
      <c r="E62" s="849">
        <f>'2020 LOS Domestic'!J32</f>
        <v>2.0499787574759357E-2</v>
      </c>
      <c r="F62" s="411"/>
      <c r="G62" s="526"/>
      <c r="I62"/>
      <c r="M62" s="111"/>
      <c r="N62" s="111"/>
      <c r="O62" s="16"/>
      <c r="P62" s="15"/>
      <c r="Q62" s="15"/>
      <c r="R62" s="15"/>
      <c r="S62" s="15"/>
      <c r="T62" s="111"/>
    </row>
    <row r="63" spans="1:26">
      <c r="A63" s="411"/>
      <c r="B63" s="851" t="s">
        <v>44</v>
      </c>
      <c r="C63" s="843"/>
      <c r="D63" s="844"/>
      <c r="E63" s="843"/>
      <c r="F63" s="411"/>
      <c r="G63" s="526"/>
      <c r="I63"/>
      <c r="M63" s="111"/>
      <c r="N63" s="111"/>
      <c r="O63" s="16"/>
      <c r="P63" s="15"/>
      <c r="Q63" s="15"/>
      <c r="R63" s="15"/>
      <c r="S63" s="15"/>
      <c r="T63" s="111"/>
    </row>
    <row r="64" spans="1:26">
      <c r="A64" s="411"/>
      <c r="B64" s="416" t="s">
        <v>42</v>
      </c>
      <c r="C64" s="845">
        <f>'2012 Domestic'!K33</f>
        <v>0.11081283865387735</v>
      </c>
      <c r="D64" s="409">
        <f>'2020 Advanced Domestic'!K33</f>
        <v>5.3519026314523502E-2</v>
      </c>
      <c r="E64" s="845">
        <f>'2020 LOS Domestic'!K33</f>
        <v>4.6789795799976795E-2</v>
      </c>
      <c r="F64" s="411"/>
      <c r="G64" s="526"/>
      <c r="I64"/>
      <c r="M64" s="111"/>
      <c r="N64" s="111"/>
      <c r="O64" s="111"/>
      <c r="P64" s="15"/>
      <c r="Q64" s="15"/>
      <c r="R64" s="15"/>
      <c r="S64" s="15"/>
      <c r="T64" s="111"/>
    </row>
    <row r="65" spans="1:51">
      <c r="A65" s="411"/>
      <c r="B65" s="36" t="s">
        <v>192</v>
      </c>
      <c r="C65" s="845">
        <f>'2012 Domestic'!K29</f>
        <v>6.2539231151438265E-2</v>
      </c>
      <c r="D65" s="409">
        <f>'2020 Advanced Domestic'!K29</f>
        <v>5.0870325826840632E-2</v>
      </c>
      <c r="E65" s="845">
        <f>'2020 LOS Domestic'!K29</f>
        <v>6.1343628202954879E-2</v>
      </c>
      <c r="F65" s="411"/>
      <c r="I65"/>
      <c r="M65" s="111"/>
      <c r="N65" s="111"/>
      <c r="O65" s="16"/>
      <c r="P65" s="15"/>
      <c r="Q65" s="15"/>
      <c r="R65" s="15"/>
      <c r="S65" s="15"/>
      <c r="T65" s="111"/>
    </row>
    <row r="66" spans="1:51">
      <c r="A66" s="411"/>
      <c r="B66" s="416" t="s">
        <v>176</v>
      </c>
      <c r="C66" s="845">
        <f>'2012 Domestic'!K40</f>
        <v>4.5398898184044079E-2</v>
      </c>
      <c r="D66" s="409">
        <f>'2020 Advanced Domestic'!K40</f>
        <v>1.6697936210131333E-2</v>
      </c>
      <c r="E66" s="845">
        <f>'2020 LOS Domestic'!K40</f>
        <v>3.8722589627567E-2</v>
      </c>
      <c r="F66" s="411"/>
      <c r="G66" s="526"/>
      <c r="I66"/>
      <c r="M66" s="111"/>
      <c r="N66" s="111"/>
      <c r="O66" s="16"/>
      <c r="P66" s="15"/>
      <c r="Q66" s="15"/>
      <c r="R66" s="15"/>
      <c r="S66" s="15"/>
      <c r="T66" s="111"/>
    </row>
    <row r="67" spans="1:51">
      <c r="A67" s="411"/>
      <c r="B67" s="416" t="s">
        <v>37</v>
      </c>
      <c r="C67" s="845">
        <f>'2012 Domestic'!K31</f>
        <v>3.3612502037165863E-2</v>
      </c>
      <c r="D67" s="409">
        <f>'2020 Advanced Domestic'!K31</f>
        <v>1.3361981359387085E-2</v>
      </c>
      <c r="E67" s="845">
        <f>'2020 LOS Domestic'!K31</f>
        <v>2.0141221902017295E-2</v>
      </c>
      <c r="F67" s="411"/>
      <c r="G67" s="526"/>
      <c r="I67"/>
      <c r="M67" s="111"/>
      <c r="N67" s="111"/>
      <c r="O67" s="111"/>
      <c r="P67" s="15"/>
      <c r="Q67" s="15"/>
      <c r="R67" s="15"/>
      <c r="S67" s="15"/>
      <c r="T67" s="111"/>
    </row>
    <row r="68" spans="1:51">
      <c r="A68" s="411"/>
      <c r="B68" s="416" t="s">
        <v>38</v>
      </c>
      <c r="C68" s="845">
        <f>'2012 Domestic'!K42</f>
        <v>3.0398837271895074E-2</v>
      </c>
      <c r="D68" s="409">
        <f>'2020 Advanced Domestic'!K42</f>
        <v>1.1225050006718307E-2</v>
      </c>
      <c r="E68" s="845">
        <f>'2020 LOS Domestic'!K42</f>
        <v>1.9675052520806036E-2</v>
      </c>
      <c r="F68" s="411"/>
      <c r="G68" s="526"/>
      <c r="I68"/>
      <c r="M68" s="111"/>
      <c r="N68" s="111"/>
      <c r="O68" s="111"/>
      <c r="P68" s="15"/>
      <c r="Q68" s="15"/>
      <c r="R68" s="15"/>
      <c r="S68" s="15"/>
      <c r="T68" s="111"/>
    </row>
    <row r="69" spans="1:51">
      <c r="A69" s="411"/>
      <c r="B69" s="416" t="s">
        <v>28</v>
      </c>
      <c r="C69" s="845">
        <f>'2012 Domestic'!K32</f>
        <v>2.3635862068965521E-2</v>
      </c>
      <c r="D69" s="409">
        <f>'2020 Advanced Domestic'!K32</f>
        <v>2.1494634146341469E-2</v>
      </c>
      <c r="E69" s="845">
        <f>'2020 LOS Domestic'!K32</f>
        <v>2.5920000000000002E-2</v>
      </c>
      <c r="F69" s="411"/>
      <c r="G69" s="526"/>
      <c r="I69"/>
      <c r="M69" s="111"/>
      <c r="N69" s="111"/>
      <c r="O69" s="16"/>
      <c r="P69" s="15"/>
      <c r="Q69" s="15"/>
      <c r="R69" s="15"/>
      <c r="S69" s="15"/>
      <c r="T69" s="111"/>
    </row>
    <row r="70" spans="1:51">
      <c r="A70" s="411"/>
      <c r="B70" s="326" t="s">
        <v>126</v>
      </c>
      <c r="C70" s="845">
        <f>'2012 Domestic'!K30</f>
        <v>1.7959059524992552E-2</v>
      </c>
      <c r="D70" s="409">
        <f>'2020 Advanced Domestic'!K30</f>
        <v>1.3183866054403602E-2</v>
      </c>
      <c r="E70" s="845">
        <f>'2020 LOS Domestic'!K30</f>
        <v>1.589819141854552E-2</v>
      </c>
      <c r="F70" s="411"/>
      <c r="G70" s="526"/>
      <c r="I70"/>
      <c r="M70" s="111"/>
      <c r="N70" s="111"/>
      <c r="O70" s="7"/>
      <c r="P70" s="324"/>
      <c r="Q70" s="324"/>
      <c r="R70" s="324"/>
      <c r="S70" s="324"/>
      <c r="T70" s="111"/>
      <c r="AR70" s="111"/>
      <c r="AS70" s="111"/>
      <c r="AT70" s="111"/>
      <c r="AU70" s="111"/>
      <c r="AV70" s="111"/>
      <c r="AW70" s="111"/>
      <c r="AX70" s="111"/>
      <c r="AY70" s="111"/>
    </row>
    <row r="71" spans="1:51" ht="15" thickBot="1">
      <c r="A71" s="411"/>
      <c r="B71" s="419" t="s">
        <v>77</v>
      </c>
      <c r="C71" s="849">
        <f>'2012 Domestic'!K45</f>
        <v>1.2610805051123355E-2</v>
      </c>
      <c r="D71" s="852">
        <f>'2020 Advanced Domestic'!K45</f>
        <v>0</v>
      </c>
      <c r="E71" s="849">
        <f>'2020 LOS Domestic'!K45</f>
        <v>9.7075380941331162E-3</v>
      </c>
      <c r="F71" s="411"/>
      <c r="G71" s="526"/>
      <c r="I71"/>
      <c r="M71" s="111"/>
      <c r="N71" s="111"/>
      <c r="O71" s="111"/>
      <c r="P71" s="111"/>
      <c r="Q71" s="111"/>
      <c r="R71" s="111"/>
      <c r="S71" s="111"/>
      <c r="T71" s="111"/>
      <c r="AR71" s="111"/>
      <c r="AS71" s="111"/>
      <c r="AT71" s="111"/>
      <c r="AU71" s="111"/>
      <c r="AV71" s="111"/>
      <c r="AW71" s="111"/>
      <c r="AX71" s="111"/>
      <c r="AY71" s="111"/>
    </row>
    <row r="72" spans="1:51">
      <c r="A72" s="411"/>
      <c r="B72" s="851" t="s">
        <v>45</v>
      </c>
      <c r="C72" s="843"/>
      <c r="D72" s="844"/>
      <c r="E72" s="36"/>
      <c r="F72" s="411"/>
      <c r="G72" s="526"/>
      <c r="I72"/>
      <c r="M72" s="111"/>
      <c r="N72" s="111"/>
      <c r="O72" s="111"/>
      <c r="P72" s="111"/>
      <c r="Q72" s="111"/>
      <c r="R72" s="111"/>
      <c r="S72" s="111"/>
      <c r="T72" s="111"/>
      <c r="AR72" s="111"/>
      <c r="AS72" s="111"/>
      <c r="AT72" s="111"/>
      <c r="AU72" s="111"/>
      <c r="AV72" s="111"/>
      <c r="AW72" s="111"/>
      <c r="AX72" s="111"/>
      <c r="AY72" s="111"/>
    </row>
    <row r="73" spans="1:51">
      <c r="A73" s="411"/>
      <c r="B73" s="416" t="s">
        <v>15</v>
      </c>
      <c r="C73" s="845">
        <f>'2012 Domestic'!L36</f>
        <v>7.3275862068965525E-2</v>
      </c>
      <c r="D73" s="409">
        <f>'2020 Advanced Domestic'!L36</f>
        <v>4.6775914634146334E-2</v>
      </c>
      <c r="E73" s="845">
        <f>'2020 LOS Domestic'!L36</f>
        <v>5.6406249999999984E-2</v>
      </c>
      <c r="F73" s="411"/>
      <c r="G73" s="526"/>
      <c r="I73"/>
      <c r="M73" s="111"/>
      <c r="N73" s="111"/>
      <c r="O73" s="111"/>
      <c r="P73" s="111"/>
      <c r="Q73" s="111"/>
      <c r="R73" s="111"/>
      <c r="S73" s="111"/>
      <c r="T73" s="111"/>
      <c r="AR73" s="111"/>
      <c r="AS73" s="111"/>
      <c r="AT73" s="111"/>
      <c r="AU73" s="111"/>
      <c r="AV73" s="111"/>
      <c r="AW73" s="111"/>
      <c r="AX73" s="111"/>
      <c r="AY73" s="111"/>
    </row>
    <row r="74" spans="1:51">
      <c r="A74" s="411"/>
      <c r="B74" s="416" t="s">
        <v>12</v>
      </c>
      <c r="C74" s="845">
        <f>'2012 Domestic'!L37</f>
        <v>5.9997421887852433E-2</v>
      </c>
      <c r="D74" s="846">
        <f>'2020 Advanced Domestic'!L37</f>
        <v>0</v>
      </c>
      <c r="E74" s="845">
        <f>'2020 LOS Domestic'!L37</f>
        <v>4.6184780128229921E-2</v>
      </c>
      <c r="F74" s="411"/>
      <c r="G74" s="526"/>
      <c r="I74"/>
      <c r="M74" s="111"/>
      <c r="N74" s="111"/>
      <c r="O74" s="111"/>
      <c r="P74" s="111"/>
      <c r="Q74" s="111"/>
      <c r="R74" s="111"/>
      <c r="S74" s="111"/>
      <c r="T74" s="111"/>
      <c r="U74" s="13"/>
      <c r="V74" s="13"/>
      <c r="W74" s="13"/>
      <c r="X74" s="13"/>
      <c r="Y74" s="13"/>
      <c r="Z74" s="13"/>
      <c r="AA74" s="13"/>
      <c r="AB74" s="13"/>
      <c r="AC74" s="13"/>
      <c r="AD74" s="13"/>
      <c r="AE74" s="13"/>
      <c r="AF74" s="13"/>
      <c r="AR74" s="111"/>
      <c r="AS74" s="111"/>
      <c r="AT74" s="111"/>
      <c r="AU74" s="111"/>
      <c r="AV74" s="111"/>
      <c r="AW74" s="111"/>
      <c r="AX74" s="111"/>
      <c r="AY74" s="111"/>
    </row>
    <row r="75" spans="1:51">
      <c r="A75" s="411"/>
      <c r="B75" s="416" t="s">
        <v>11</v>
      </c>
      <c r="C75" s="845">
        <f>'2012 Domestic'!L41</f>
        <v>4.9568965517241388E-2</v>
      </c>
      <c r="D75" s="409">
        <f>'2020 Advanced Domestic'!L41</f>
        <v>3.1642530487804882E-2</v>
      </c>
      <c r="E75" s="845">
        <f>'2020 LOS Domestic'!L41</f>
        <v>3.8157169117647056E-2</v>
      </c>
      <c r="F75" s="411"/>
      <c r="G75" s="526"/>
      <c r="I75"/>
      <c r="M75" s="111"/>
      <c r="N75" s="111"/>
      <c r="O75" s="111"/>
      <c r="P75" s="111"/>
      <c r="Q75" s="111"/>
      <c r="R75" s="111"/>
      <c r="S75" s="111"/>
      <c r="T75" s="111"/>
      <c r="AE75" s="110"/>
      <c r="AF75" s="110"/>
      <c r="AG75" s="110"/>
      <c r="AR75" s="111"/>
      <c r="AS75" s="111"/>
      <c r="AT75" s="7"/>
      <c r="AU75" s="15"/>
      <c r="AV75" s="15"/>
      <c r="AW75" s="15"/>
      <c r="AX75" s="15"/>
      <c r="AY75" s="111"/>
    </row>
    <row r="76" spans="1:51">
      <c r="A76" s="411"/>
      <c r="B76" s="416" t="s">
        <v>13</v>
      </c>
      <c r="C76" s="845">
        <f>'2012 Domestic'!L39</f>
        <v>0.04</v>
      </c>
      <c r="D76" s="409">
        <f>'2020 Advanced Domestic'!L39</f>
        <v>3.61E-2</v>
      </c>
      <c r="E76" s="845">
        <f>'2020 LOS Domestic'!L39</f>
        <v>3.61E-2</v>
      </c>
      <c r="F76" s="411"/>
      <c r="G76" s="526"/>
      <c r="I76"/>
      <c r="M76" s="111"/>
      <c r="N76" s="111"/>
      <c r="O76" s="111"/>
      <c r="P76" s="111"/>
      <c r="Q76" s="111"/>
      <c r="R76" s="111"/>
      <c r="S76" s="111"/>
      <c r="T76" s="111"/>
      <c r="AA76" s="10"/>
      <c r="AB76" s="10"/>
      <c r="AC76" s="10"/>
      <c r="AD76" s="10"/>
      <c r="AE76" s="10"/>
      <c r="AF76" s="10"/>
      <c r="AG76" s="10"/>
      <c r="AR76" s="111"/>
      <c r="AS76" s="111"/>
      <c r="AT76" s="111"/>
      <c r="AU76" s="15"/>
      <c r="AV76" s="15"/>
      <c r="AW76" s="15"/>
      <c r="AX76" s="15"/>
      <c r="AY76" s="111"/>
    </row>
    <row r="77" spans="1:51">
      <c r="A77" s="411"/>
      <c r="B77" s="416" t="s">
        <v>10</v>
      </c>
      <c r="C77" s="845">
        <f>'2012 Domestic'!L38</f>
        <v>3.8793103448275863E-2</v>
      </c>
      <c r="D77" s="409">
        <f>'2020 Advanced Domestic'!L38</f>
        <v>2.476371951219512E-2</v>
      </c>
      <c r="E77" s="845">
        <f>'2020 LOS Domestic'!L38</f>
        <v>2.9862132352941169E-2</v>
      </c>
      <c r="F77" s="411"/>
      <c r="G77" s="526"/>
      <c r="I77"/>
      <c r="M77" s="111"/>
      <c r="N77" s="111"/>
      <c r="O77" s="111"/>
      <c r="P77" s="111"/>
      <c r="Q77" s="111"/>
      <c r="R77" s="111"/>
      <c r="S77" s="111"/>
      <c r="T77" s="111"/>
      <c r="AA77" s="10"/>
      <c r="AB77" s="10"/>
      <c r="AC77" s="10"/>
      <c r="AD77" s="10"/>
      <c r="AE77" s="10"/>
      <c r="AF77" s="10"/>
      <c r="AG77" s="10"/>
    </row>
    <row r="78" spans="1:51">
      <c r="A78" s="411"/>
      <c r="B78" s="416" t="s">
        <v>37</v>
      </c>
      <c r="C78" s="845">
        <f>'2012 Domestic'!L31</f>
        <v>3.3612502037165863E-2</v>
      </c>
      <c r="D78" s="409">
        <f>'2020 Advanced Domestic'!L31</f>
        <v>1.3361981359387085E-2</v>
      </c>
      <c r="E78" s="845">
        <f>'2020 LOS Domestic'!L31</f>
        <v>2.0141221902017295E-2</v>
      </c>
      <c r="F78" s="411"/>
      <c r="G78" s="526"/>
      <c r="I78"/>
      <c r="M78" s="111"/>
      <c r="N78" s="111"/>
      <c r="O78" s="111"/>
      <c r="P78" s="111"/>
      <c r="Q78" s="111"/>
      <c r="R78" s="111"/>
      <c r="S78" s="111"/>
      <c r="T78" s="111"/>
      <c r="AA78" s="10"/>
      <c r="AB78" s="10"/>
      <c r="AC78" s="10"/>
      <c r="AD78" s="10"/>
      <c r="AE78" s="10"/>
      <c r="AF78" s="10"/>
      <c r="AG78" s="10"/>
    </row>
    <row r="79" spans="1:51">
      <c r="A79" s="411"/>
      <c r="B79" s="416" t="s">
        <v>14</v>
      </c>
      <c r="C79" s="845">
        <f>'2012 Domestic'!L43</f>
        <v>3.2327586206896554E-2</v>
      </c>
      <c r="D79" s="846">
        <f>'2020 Advanced Domestic'!L43</f>
        <v>0</v>
      </c>
      <c r="E79" s="845">
        <f>'2020 LOS Domestic'!L43</f>
        <v>2.4885110294117645E-2</v>
      </c>
      <c r="F79" s="411"/>
      <c r="G79" s="526"/>
      <c r="I79"/>
      <c r="O79" s="111"/>
      <c r="P79" s="111"/>
      <c r="Q79" s="111"/>
      <c r="R79" s="111"/>
      <c r="S79" s="111"/>
      <c r="T79" s="111"/>
      <c r="U79" s="111"/>
      <c r="V79" s="111"/>
      <c r="AA79" s="10"/>
      <c r="AB79" s="10"/>
      <c r="AC79" s="10"/>
      <c r="AD79" s="10"/>
      <c r="AE79" s="10"/>
      <c r="AF79" s="10"/>
      <c r="AG79" s="10"/>
    </row>
    <row r="80" spans="1:51">
      <c r="A80" s="411"/>
      <c r="B80" s="36" t="s">
        <v>192</v>
      </c>
      <c r="C80" s="845">
        <f>'2012 Domestic'!L29</f>
        <v>2.8367725911373737E-2</v>
      </c>
      <c r="D80" s="409">
        <f>'2020 Advanced Domestic'!L29</f>
        <v>2.307472339376376E-2</v>
      </c>
      <c r="E80" s="845">
        <f>'2020 LOS Domestic'!L29</f>
        <v>2.7825401739538649E-2</v>
      </c>
      <c r="F80" s="411"/>
      <c r="G80" s="526"/>
      <c r="I80"/>
      <c r="O80" s="111"/>
      <c r="P80" s="111"/>
      <c r="Q80" s="111"/>
      <c r="R80" s="111"/>
      <c r="S80" s="111"/>
      <c r="T80" s="111"/>
      <c r="U80" s="111"/>
      <c r="V80" s="111"/>
      <c r="W80" s="13"/>
      <c r="X80" s="13"/>
      <c r="Y80" s="13"/>
      <c r="Z80" s="13"/>
      <c r="AA80" s="10"/>
      <c r="AB80" s="10"/>
      <c r="AC80" s="10"/>
      <c r="AD80" s="10"/>
      <c r="AE80" s="10"/>
      <c r="AF80" s="10"/>
      <c r="AG80" s="10"/>
    </row>
    <row r="81" spans="1:33">
      <c r="A81" s="411"/>
      <c r="B81" s="416" t="s">
        <v>38</v>
      </c>
      <c r="C81" s="845">
        <f>'2012 Domestic'!L42</f>
        <v>2.4686836894118658E-2</v>
      </c>
      <c r="D81" s="409">
        <f>'2020 Advanced Domestic'!L42</f>
        <v>1.0141909102574787E-2</v>
      </c>
      <c r="E81" s="845">
        <f>'2020 LOS Domestic'!L42</f>
        <v>1.7065168730143299E-2</v>
      </c>
      <c r="F81" s="411"/>
      <c r="G81" s="526"/>
      <c r="I81"/>
      <c r="O81" s="111"/>
      <c r="P81" s="111"/>
      <c r="Q81" s="111"/>
      <c r="R81" s="111"/>
      <c r="S81" s="111"/>
      <c r="T81" s="111"/>
      <c r="U81" s="111"/>
      <c r="V81" s="111"/>
      <c r="AA81" s="10"/>
      <c r="AB81" s="10"/>
      <c r="AC81" s="10"/>
      <c r="AD81" s="10"/>
      <c r="AE81" s="10"/>
      <c r="AF81" s="10"/>
      <c r="AG81" s="10"/>
    </row>
    <row r="82" spans="1:33">
      <c r="A82" s="411"/>
      <c r="B82" s="326" t="s">
        <v>126</v>
      </c>
      <c r="C82" s="845">
        <f>'2012 Domestic'!L30</f>
        <v>8.9931598926761419E-3</v>
      </c>
      <c r="D82" s="409">
        <f>'2020 Advanced Domestic'!L30</f>
        <v>6.6019389971884437E-3</v>
      </c>
      <c r="E82" s="845">
        <f>'2020 LOS Domestic'!L30</f>
        <v>7.9611617319037108E-3</v>
      </c>
      <c r="F82" s="411"/>
      <c r="G82" s="526"/>
      <c r="I82"/>
      <c r="AA82" s="10"/>
      <c r="AB82" s="10"/>
      <c r="AC82" s="10"/>
      <c r="AD82" s="10"/>
      <c r="AE82" s="10"/>
      <c r="AF82" s="10"/>
      <c r="AG82" s="10"/>
    </row>
    <row r="83" spans="1:33">
      <c r="A83" s="411"/>
      <c r="B83" s="416" t="s">
        <v>28</v>
      </c>
      <c r="C83" s="845">
        <f>'2012 Domestic'!L32</f>
        <v>3.4758620689655179E-3</v>
      </c>
      <c r="D83" s="409">
        <f>'2020 Advanced Domestic'!L32</f>
        <v>3.1609756097560975E-3</v>
      </c>
      <c r="E83" s="845">
        <f>'2020 LOS Domestic'!L32</f>
        <v>3.8117647058823526E-3</v>
      </c>
      <c r="F83" s="411"/>
      <c r="G83" s="526"/>
      <c r="I83"/>
      <c r="AA83" s="10"/>
      <c r="AB83" s="10"/>
      <c r="AC83" s="10"/>
      <c r="AD83" s="10"/>
      <c r="AE83" s="10"/>
      <c r="AF83" s="10"/>
      <c r="AG83" s="10"/>
    </row>
    <row r="84" spans="1:33" ht="15" thickBot="1">
      <c r="A84" s="411"/>
      <c r="B84" s="419" t="s">
        <v>29</v>
      </c>
      <c r="C84" s="849">
        <f>'2012 Domestic'!L44</f>
        <v>3.1034482758620693E-3</v>
      </c>
      <c r="D84" s="850">
        <f>'2020 Advanced Domestic'!L44</f>
        <v>1.98109756097561E-3</v>
      </c>
      <c r="E84" s="845">
        <f>'2020 LOS Domestic'!L44</f>
        <v>2.3889705882352941E-3</v>
      </c>
      <c r="F84" s="411"/>
      <c r="G84" s="526"/>
      <c r="I84"/>
    </row>
    <row r="85" spans="1:33" s="13" customFormat="1">
      <c r="A85" s="411"/>
      <c r="B85" s="851" t="s">
        <v>75</v>
      </c>
      <c r="C85" s="843"/>
      <c r="D85" s="844"/>
      <c r="E85" s="843"/>
      <c r="F85" s="411"/>
      <c r="G85" s="526"/>
    </row>
    <row r="86" spans="1:33">
      <c r="A86" s="411"/>
      <c r="B86" s="416" t="s">
        <v>190</v>
      </c>
      <c r="C86" s="36">
        <f>'2012 Domestic'!M46</f>
        <v>0</v>
      </c>
      <c r="D86" s="846">
        <f>'2020 Advanced Domestic'!M46</f>
        <v>0</v>
      </c>
      <c r="E86" s="845">
        <f>'2020 LOS Domestic'!M46</f>
        <v>0</v>
      </c>
      <c r="F86" s="411"/>
      <c r="G86" s="526"/>
      <c r="I86"/>
    </row>
    <row r="87" spans="1:33">
      <c r="A87" s="411"/>
      <c r="B87" s="416" t="s">
        <v>76</v>
      </c>
      <c r="C87" s="36">
        <f>'2012 Domestic'!M47</f>
        <v>0</v>
      </c>
      <c r="D87" s="846">
        <f>'2020 Advanced Domestic'!M47</f>
        <v>0</v>
      </c>
      <c r="E87" s="845">
        <f>'2020 LOS Domestic'!M47</f>
        <v>0</v>
      </c>
      <c r="F87" s="411"/>
      <c r="G87" s="526"/>
      <c r="I87"/>
    </row>
    <row r="88" spans="1:33" ht="15" thickBot="1">
      <c r="A88" s="411"/>
      <c r="B88" s="419" t="s">
        <v>38</v>
      </c>
      <c r="C88" s="848">
        <f>'2012 Domestic'!M42</f>
        <v>0</v>
      </c>
      <c r="D88" s="852">
        <f>'2020 Advanced Domestic'!M42</f>
        <v>0</v>
      </c>
      <c r="E88" s="849">
        <f>'2020 LOS Domestic'!M42</f>
        <v>0</v>
      </c>
      <c r="F88" s="411"/>
      <c r="G88" s="414"/>
      <c r="H88" s="411"/>
      <c r="I88"/>
    </row>
    <row r="89" spans="1:33" ht="15" thickBot="1">
      <c r="A89" s="411"/>
      <c r="B89" s="853" t="s">
        <v>6</v>
      </c>
      <c r="C89" s="796">
        <f>SUM(C55:C88)</f>
        <v>1.2927180595475551</v>
      </c>
      <c r="D89" s="855">
        <f>SUM(D55:D88)</f>
        <v>0.52266162558574547</v>
      </c>
      <c r="E89" s="856">
        <f>SUM(E55:E88)</f>
        <v>0.88998329640540919</v>
      </c>
      <c r="F89" s="411"/>
      <c r="G89" s="414"/>
      <c r="H89" s="411"/>
      <c r="I89"/>
    </row>
    <row r="90" spans="1:33">
      <c r="A90" s="411"/>
      <c r="B90" s="411"/>
      <c r="C90" s="411"/>
      <c r="D90" s="411"/>
      <c r="E90" s="411"/>
      <c r="F90" s="411"/>
      <c r="G90" s="411"/>
      <c r="H90" s="411"/>
    </row>
    <row r="91" spans="1:33" s="13" customFormat="1">
      <c r="A91" s="411"/>
      <c r="B91" s="411"/>
      <c r="C91" s="411"/>
      <c r="D91" s="411"/>
      <c r="E91" s="411"/>
      <c r="F91" s="411"/>
      <c r="G91" s="411"/>
      <c r="H91" s="411"/>
    </row>
    <row r="92" spans="1:33" s="13" customFormat="1">
      <c r="A92" s="411"/>
      <c r="C92" s="411"/>
      <c r="D92" s="411"/>
      <c r="E92" s="411"/>
      <c r="F92" s="411"/>
      <c r="G92" s="411"/>
      <c r="H92" s="411"/>
      <c r="I92" s="4"/>
      <c r="J92"/>
      <c r="K92"/>
      <c r="L92"/>
      <c r="M92"/>
      <c r="N92"/>
      <c r="O92"/>
    </row>
    <row r="93" spans="1:33">
      <c r="C93" s="110"/>
      <c r="O93" s="13"/>
    </row>
    <row r="94" spans="1:33" ht="26.4" thickBot="1">
      <c r="B94" s="854" t="s">
        <v>181</v>
      </c>
      <c r="C94" s="110"/>
      <c r="I94"/>
    </row>
    <row r="95" spans="1:33" s="13" customFormat="1" ht="16.2" thickBot="1">
      <c r="A95"/>
      <c r="B95" s="14" t="s">
        <v>172</v>
      </c>
      <c r="C95" s="863">
        <f>C52</f>
        <v>2012</v>
      </c>
      <c r="D95" s="884" t="str">
        <f>E52</f>
        <v>2020 LOS</v>
      </c>
      <c r="E95" s="895" t="s">
        <v>7</v>
      </c>
      <c r="F95" s="896" t="s">
        <v>43</v>
      </c>
      <c r="G95" s="895" t="s">
        <v>227</v>
      </c>
      <c r="H95" s="869" t="str">
        <f>D52</f>
        <v>2020 Adv. Concept</v>
      </c>
      <c r="I95"/>
      <c r="J95"/>
      <c r="K95"/>
      <c r="L95"/>
      <c r="M95"/>
      <c r="N95"/>
      <c r="O95"/>
    </row>
    <row r="96" spans="1:33" s="13" customFormat="1">
      <c r="A96" s="141" t="s">
        <v>43</v>
      </c>
      <c r="B96" s="325" t="str">
        <f>B55</f>
        <v>Silicon Feedstock</v>
      </c>
      <c r="C96" s="865">
        <f>C55</f>
        <v>0.22872386206896561</v>
      </c>
      <c r="D96" s="26">
        <f t="shared" ref="D96:D103" si="1">E55</f>
        <v>6.650727272727272E-2</v>
      </c>
      <c r="E96" s="867"/>
      <c r="F96" s="137"/>
      <c r="G96" s="867"/>
      <c r="H96" s="18">
        <f>D55</f>
        <v>1.4043428184281845E-2</v>
      </c>
      <c r="I96"/>
      <c r="J96"/>
      <c r="K96"/>
      <c r="L96"/>
      <c r="M96"/>
      <c r="N96"/>
      <c r="O96"/>
    </row>
    <row r="97" spans="1:33">
      <c r="A97" s="140"/>
      <c r="B97" s="19" t="str">
        <f>B56</f>
        <v>Depreciation</v>
      </c>
      <c r="C97" s="862">
        <f>C56</f>
        <v>8.9908448674886676E-2</v>
      </c>
      <c r="D97" s="15">
        <f t="shared" si="1"/>
        <v>8.8189610685513842E-2</v>
      </c>
      <c r="E97" s="864"/>
      <c r="F97" s="111"/>
      <c r="G97" s="864"/>
      <c r="H97" s="20">
        <f t="shared" ref="H97:H103" si="2">D56</f>
        <v>7.3132847885548052E-2</v>
      </c>
      <c r="I97"/>
    </row>
    <row r="98" spans="1:33">
      <c r="A98" s="140"/>
      <c r="B98" s="416" t="str">
        <f t="shared" ref="B98:B103" si="3">B57</f>
        <v>Labor</v>
      </c>
      <c r="C98" s="862">
        <f>C57</f>
        <v>6.8569504155818362E-2</v>
      </c>
      <c r="D98" s="15">
        <f t="shared" si="1"/>
        <v>5.317282582132566E-2</v>
      </c>
      <c r="E98" s="864"/>
      <c r="F98" s="111"/>
      <c r="G98" s="864"/>
      <c r="H98" s="20">
        <f t="shared" si="2"/>
        <v>3.1846055573205884E-2</v>
      </c>
      <c r="I98"/>
      <c r="O98" s="13"/>
      <c r="S98" s="10"/>
    </row>
    <row r="99" spans="1:33" s="13" customFormat="1">
      <c r="A99" s="140"/>
      <c r="B99" s="416" t="str">
        <f t="shared" si="3"/>
        <v>Wire Sawing</v>
      </c>
      <c r="C99" s="862">
        <f t="shared" ref="C99:C103" si="4">C58</f>
        <v>6.4116132366093634E-2</v>
      </c>
      <c r="D99" s="15">
        <f t="shared" si="1"/>
        <v>4.9355278657399575E-2</v>
      </c>
      <c r="E99" s="864"/>
      <c r="F99" s="111"/>
      <c r="G99" s="864"/>
      <c r="H99" s="20">
        <f t="shared" si="2"/>
        <v>0</v>
      </c>
      <c r="I99"/>
      <c r="J99"/>
      <c r="K99"/>
      <c r="L99"/>
      <c r="M99"/>
      <c r="N99"/>
      <c r="S99" s="10"/>
      <c r="AG99"/>
    </row>
    <row r="100" spans="1:33">
      <c r="A100" s="140"/>
      <c r="B100" s="416" t="str">
        <f t="shared" si="3"/>
        <v>Ingot Casting</v>
      </c>
      <c r="C100" s="862">
        <f t="shared" si="4"/>
        <v>2.944108118851238E-2</v>
      </c>
      <c r="D100" s="15">
        <f t="shared" si="1"/>
        <v>2.2663138159010006E-2</v>
      </c>
      <c r="E100" s="864"/>
      <c r="F100" s="111"/>
      <c r="G100" s="864"/>
      <c r="H100" s="20">
        <f t="shared" si="2"/>
        <v>0</v>
      </c>
      <c r="I100"/>
      <c r="O100" s="13"/>
      <c r="S100" s="10"/>
    </row>
    <row r="101" spans="1:33">
      <c r="A101" s="140"/>
      <c r="B101" s="416" t="str">
        <f t="shared" si="3"/>
        <v>Maintenance</v>
      </c>
      <c r="C101" s="862">
        <f t="shared" si="4"/>
        <v>2.6612283970982815E-2</v>
      </c>
      <c r="D101" s="15">
        <f t="shared" si="1"/>
        <v>2.3558426546033229E-2</v>
      </c>
      <c r="E101" s="864"/>
      <c r="F101" s="111"/>
      <c r="G101" s="864"/>
      <c r="H101" s="20">
        <f t="shared" si="2"/>
        <v>1.7892002276664092E-2</v>
      </c>
      <c r="I101"/>
      <c r="S101" s="10"/>
    </row>
    <row r="102" spans="1:33">
      <c r="A102" s="140"/>
      <c r="B102" s="416" t="str">
        <f t="shared" si="3"/>
        <v>Yield Loss</v>
      </c>
      <c r="C102" s="862">
        <f t="shared" si="4"/>
        <v>2.7977377569732953E-2</v>
      </c>
      <c r="D102" s="15">
        <f t="shared" si="1"/>
        <v>1.7049807377437609E-2</v>
      </c>
      <c r="E102" s="864"/>
      <c r="F102" s="111"/>
      <c r="G102" s="864"/>
      <c r="H102" s="885">
        <f t="shared" si="2"/>
        <v>4.3411204502882272E-3</v>
      </c>
      <c r="I102"/>
      <c r="S102" s="10"/>
    </row>
    <row r="103" spans="1:33" s="13" customFormat="1" ht="15" thickBot="1">
      <c r="A103" s="140"/>
      <c r="B103" s="416" t="str">
        <f t="shared" si="3"/>
        <v>Input Electricity</v>
      </c>
      <c r="C103" s="892">
        <f t="shared" si="4"/>
        <v>2.4198861399667065E-2</v>
      </c>
      <c r="D103" s="22">
        <f t="shared" si="1"/>
        <v>2.0499787574759357E-2</v>
      </c>
      <c r="E103" s="868"/>
      <c r="F103" s="127"/>
      <c r="G103" s="868"/>
      <c r="H103" s="886">
        <f t="shared" si="2"/>
        <v>3.4485606396192753E-3</v>
      </c>
      <c r="I103"/>
      <c r="J103"/>
      <c r="K103"/>
      <c r="L103"/>
      <c r="M103"/>
      <c r="N103"/>
      <c r="O103"/>
      <c r="S103" s="10"/>
      <c r="AG103"/>
    </row>
    <row r="104" spans="1:33" s="13" customFormat="1">
      <c r="A104" s="141" t="s">
        <v>44</v>
      </c>
      <c r="B104" s="325" t="str">
        <f>B64</f>
        <v>Metal Paste</v>
      </c>
      <c r="C104" s="865">
        <f t="shared" ref="C104:C111" si="5">C64</f>
        <v>0.11081283865387735</v>
      </c>
      <c r="D104" s="26">
        <f t="shared" ref="D104:D111" si="6">E64</f>
        <v>4.6789795799976795E-2</v>
      </c>
      <c r="E104" s="867"/>
      <c r="F104" s="137"/>
      <c r="G104" s="867"/>
      <c r="H104" s="887">
        <f t="shared" ref="H104:H111" si="7">D64</f>
        <v>5.3519026314523502E-2</v>
      </c>
      <c r="I104"/>
      <c r="J104"/>
      <c r="K104"/>
      <c r="L104"/>
      <c r="M104"/>
      <c r="N104"/>
      <c r="O104"/>
      <c r="Q104" s="110"/>
      <c r="R104" s="110"/>
      <c r="S104" s="10"/>
      <c r="AG104"/>
    </row>
    <row r="105" spans="1:33" s="13" customFormat="1">
      <c r="A105" s="140"/>
      <c r="B105" s="416" t="str">
        <f>B65</f>
        <v>Depreciation</v>
      </c>
      <c r="C105" s="862">
        <f t="shared" si="5"/>
        <v>6.2539231151438265E-2</v>
      </c>
      <c r="D105" s="15">
        <f t="shared" si="6"/>
        <v>6.1343628202954879E-2</v>
      </c>
      <c r="E105" s="864"/>
      <c r="F105" s="111"/>
      <c r="G105" s="864"/>
      <c r="H105" s="885">
        <f t="shared" si="7"/>
        <v>5.0870325826840632E-2</v>
      </c>
      <c r="I105"/>
      <c r="J105"/>
      <c r="K105"/>
      <c r="L105"/>
      <c r="M105"/>
      <c r="N105"/>
      <c r="O105"/>
      <c r="P105" s="110"/>
      <c r="Q105" s="3"/>
      <c r="R105" s="3"/>
      <c r="U105" s="311"/>
      <c r="V105" s="311"/>
      <c r="W105" s="311"/>
      <c r="X105" s="311"/>
      <c r="Y105" s="311"/>
      <c r="Z105" s="311"/>
      <c r="AA105" s="311"/>
      <c r="AG105"/>
    </row>
    <row r="106" spans="1:33">
      <c r="A106" s="140"/>
      <c r="B106" s="416" t="str">
        <f t="shared" ref="B106:B111" si="8">B66</f>
        <v>Chemicals</v>
      </c>
      <c r="C106" s="862">
        <f t="shared" si="5"/>
        <v>4.5398898184044079E-2</v>
      </c>
      <c r="D106" s="15">
        <f t="shared" si="6"/>
        <v>3.8722589627567E-2</v>
      </c>
      <c r="E106" s="864"/>
      <c r="F106" s="111"/>
      <c r="G106" s="864"/>
      <c r="H106" s="885">
        <f t="shared" si="7"/>
        <v>1.6697936210131333E-2</v>
      </c>
      <c r="I106"/>
      <c r="P106" s="110"/>
      <c r="Q106" s="3"/>
      <c r="R106" s="3"/>
    </row>
    <row r="107" spans="1:33" s="110" customFormat="1" ht="13.8" customHeight="1">
      <c r="A107" s="140"/>
      <c r="B107" s="416" t="str">
        <f t="shared" si="8"/>
        <v>Labor</v>
      </c>
      <c r="C107" s="862">
        <f t="shared" si="5"/>
        <v>3.3612502037165863E-2</v>
      </c>
      <c r="D107" s="15">
        <f t="shared" si="6"/>
        <v>2.0141221902017295E-2</v>
      </c>
      <c r="E107" s="864"/>
      <c r="F107" s="111"/>
      <c r="G107" s="864"/>
      <c r="H107" s="885">
        <f t="shared" si="7"/>
        <v>1.3361981359387085E-2</v>
      </c>
      <c r="I107"/>
      <c r="AD107" s="408" t="s">
        <v>185</v>
      </c>
      <c r="AF107" s="16"/>
    </row>
    <row r="108" spans="1:33" s="110" customFormat="1" ht="13.8" customHeight="1">
      <c r="A108" s="140"/>
      <c r="B108" s="416" t="str">
        <f t="shared" si="8"/>
        <v>Yield Loss</v>
      </c>
      <c r="C108" s="862">
        <f t="shared" si="5"/>
        <v>3.0398837271895074E-2</v>
      </c>
      <c r="D108" s="15">
        <f t="shared" si="6"/>
        <v>1.9675052520806036E-2</v>
      </c>
      <c r="E108" s="864"/>
      <c r="F108" s="111"/>
      <c r="G108" s="864"/>
      <c r="H108" s="885">
        <f t="shared" si="7"/>
        <v>1.1225050006718307E-2</v>
      </c>
      <c r="I108"/>
      <c r="AD108" s="814" t="s">
        <v>237</v>
      </c>
      <c r="AE108" s="488" t="s">
        <v>193</v>
      </c>
      <c r="AF108" s="811" t="s">
        <v>186</v>
      </c>
      <c r="AG108" s="812" t="s">
        <v>187</v>
      </c>
    </row>
    <row r="109" spans="1:33" s="110" customFormat="1" ht="13.8" customHeight="1">
      <c r="A109" s="140"/>
      <c r="B109" s="416" t="str">
        <f t="shared" si="8"/>
        <v>Input Electricity</v>
      </c>
      <c r="C109" s="862">
        <f t="shared" si="5"/>
        <v>2.3635862068965521E-2</v>
      </c>
      <c r="D109" s="15">
        <f t="shared" si="6"/>
        <v>2.5920000000000002E-2</v>
      </c>
      <c r="E109" s="864"/>
      <c r="F109" s="111"/>
      <c r="G109" s="864"/>
      <c r="H109" s="20">
        <f t="shared" si="7"/>
        <v>2.1494634146341469E-2</v>
      </c>
      <c r="I109"/>
      <c r="S109" s="3"/>
      <c r="AD109" s="405">
        <f>C95</f>
        <v>2012</v>
      </c>
      <c r="AE109" s="526">
        <v>0.05</v>
      </c>
      <c r="AF109" s="414">
        <f>AE109*C89</f>
        <v>6.4635902977377757E-2</v>
      </c>
      <c r="AG109" s="813">
        <f>AF109</f>
        <v>6.4635902977377757E-2</v>
      </c>
    </row>
    <row r="110" spans="1:33" s="110" customFormat="1" ht="13.8" customHeight="1">
      <c r="A110" s="140"/>
      <c r="B110" s="416" t="str">
        <f t="shared" si="8"/>
        <v>Maintenance</v>
      </c>
      <c r="C110" s="862">
        <f t="shared" si="5"/>
        <v>1.7959059524992552E-2</v>
      </c>
      <c r="D110" s="15">
        <f t="shared" si="6"/>
        <v>1.589819141854552E-2</v>
      </c>
      <c r="E110" s="864"/>
      <c r="F110" s="111"/>
      <c r="G110" s="864"/>
      <c r="H110" s="20">
        <f t="shared" si="7"/>
        <v>1.3183866054403602E-2</v>
      </c>
      <c r="I110"/>
      <c r="AD110" s="405" t="str">
        <f>D95</f>
        <v>2020 LOS</v>
      </c>
      <c r="AE110" s="526">
        <v>0.1</v>
      </c>
      <c r="AF110" s="414">
        <f>AE110*E89</f>
        <v>8.8998329640540927E-2</v>
      </c>
      <c r="AG110" s="813">
        <f t="shared" ref="AG110" si="9">AF110</f>
        <v>8.8998329640540927E-2</v>
      </c>
    </row>
    <row r="111" spans="1:33" s="110" customFormat="1" ht="13.8" customHeight="1" thickBot="1">
      <c r="A111" s="140"/>
      <c r="B111" s="416" t="str">
        <f t="shared" si="8"/>
        <v>Screens</v>
      </c>
      <c r="C111" s="892">
        <f t="shared" si="5"/>
        <v>1.2610805051123355E-2</v>
      </c>
      <c r="D111" s="22">
        <f t="shared" si="6"/>
        <v>9.7075380941331162E-3</v>
      </c>
      <c r="E111" s="868"/>
      <c r="F111" s="127"/>
      <c r="G111" s="868"/>
      <c r="H111" s="327">
        <f t="shared" si="7"/>
        <v>0</v>
      </c>
      <c r="I111"/>
      <c r="AD111" s="405"/>
      <c r="AE111" s="526"/>
      <c r="AF111" s="526"/>
      <c r="AG111" s="467"/>
    </row>
    <row r="112" spans="1:33" s="110" customFormat="1" ht="13.8" customHeight="1">
      <c r="A112" s="141" t="s">
        <v>45</v>
      </c>
      <c r="B112" s="325" t="str">
        <f>B73</f>
        <v>Glass</v>
      </c>
      <c r="C112" s="865">
        <f t="shared" ref="C112:C123" si="10">C73</f>
        <v>7.3275862068965525E-2</v>
      </c>
      <c r="D112" s="26">
        <f t="shared" ref="D112:D123" si="11">E73</f>
        <v>5.6406249999999984E-2</v>
      </c>
      <c r="E112" s="867"/>
      <c r="F112" s="137"/>
      <c r="G112" s="867"/>
      <c r="H112" s="18">
        <f t="shared" ref="H112:H123" si="12">D73</f>
        <v>4.6775914634146334E-2</v>
      </c>
      <c r="I112"/>
      <c r="AD112" s="405"/>
      <c r="AE112" s="526"/>
      <c r="AF112" s="414"/>
      <c r="AG112" s="813"/>
    </row>
    <row r="113" spans="1:33">
      <c r="A113" s="140"/>
      <c r="B113" s="19" t="str">
        <f>B74</f>
        <v>Frame</v>
      </c>
      <c r="C113" s="862">
        <f t="shared" si="10"/>
        <v>5.9997421887852433E-2</v>
      </c>
      <c r="D113" s="15">
        <f t="shared" si="11"/>
        <v>4.6184780128229921E-2</v>
      </c>
      <c r="E113" s="864"/>
      <c r="F113" s="111"/>
      <c r="G113" s="864"/>
      <c r="H113" s="20">
        <f t="shared" si="12"/>
        <v>0</v>
      </c>
      <c r="I113"/>
      <c r="AD113" s="405"/>
      <c r="AE113" s="526"/>
      <c r="AF113" s="414"/>
      <c r="AG113" s="813"/>
    </row>
    <row r="114" spans="1:33">
      <c r="A114" s="140"/>
      <c r="B114" s="416" t="str">
        <f t="shared" ref="B114:B123" si="13">B75</f>
        <v>Back Sheet</v>
      </c>
      <c r="C114" s="862">
        <f t="shared" si="10"/>
        <v>4.9568965517241388E-2</v>
      </c>
      <c r="D114" s="15">
        <f t="shared" si="11"/>
        <v>3.8157169117647056E-2</v>
      </c>
      <c r="E114" s="864"/>
      <c r="F114" s="111"/>
      <c r="G114" s="864"/>
      <c r="H114" s="20">
        <f t="shared" si="12"/>
        <v>3.1642530487804882E-2</v>
      </c>
      <c r="I114"/>
      <c r="O114" s="13"/>
      <c r="AD114" s="349" t="str">
        <f>H95</f>
        <v>2020 Adv. Concept</v>
      </c>
      <c r="AE114" s="420">
        <v>0.1</v>
      </c>
      <c r="AF114" s="351">
        <f>AE114*D89</f>
        <v>5.2266162558574553E-2</v>
      </c>
      <c r="AG114" s="353">
        <f>AF114</f>
        <v>5.2266162558574553E-2</v>
      </c>
    </row>
    <row r="115" spans="1:33">
      <c r="A115" s="140"/>
      <c r="B115" s="416" t="str">
        <f t="shared" si="13"/>
        <v>JB and Cable</v>
      </c>
      <c r="C115" s="862">
        <f t="shared" si="10"/>
        <v>0.04</v>
      </c>
      <c r="D115" s="15">
        <f t="shared" si="11"/>
        <v>3.61E-2</v>
      </c>
      <c r="E115" s="864"/>
      <c r="F115" s="111"/>
      <c r="G115" s="864"/>
      <c r="H115" s="20">
        <f t="shared" si="12"/>
        <v>3.61E-2</v>
      </c>
      <c r="I115"/>
      <c r="O115" s="13"/>
    </row>
    <row r="116" spans="1:33">
      <c r="A116" s="140"/>
      <c r="B116" s="416" t="str">
        <f t="shared" si="13"/>
        <v>Encapsulant</v>
      </c>
      <c r="C116" s="862">
        <f t="shared" si="10"/>
        <v>3.8793103448275863E-2</v>
      </c>
      <c r="D116" s="15">
        <f t="shared" si="11"/>
        <v>2.9862132352941169E-2</v>
      </c>
      <c r="E116" s="864"/>
      <c r="F116" s="111"/>
      <c r="G116" s="864"/>
      <c r="H116" s="20">
        <f t="shared" si="12"/>
        <v>2.476371951219512E-2</v>
      </c>
      <c r="I116"/>
      <c r="O116" s="13"/>
    </row>
    <row r="117" spans="1:33">
      <c r="A117" s="140"/>
      <c r="B117" s="416" t="str">
        <f t="shared" si="13"/>
        <v>Labor</v>
      </c>
      <c r="C117" s="862">
        <f t="shared" si="10"/>
        <v>3.3612502037165863E-2</v>
      </c>
      <c r="D117" s="15">
        <f t="shared" si="11"/>
        <v>2.0141221902017295E-2</v>
      </c>
      <c r="E117" s="864"/>
      <c r="F117" s="111"/>
      <c r="G117" s="864"/>
      <c r="H117" s="20">
        <f t="shared" si="12"/>
        <v>1.3361981359387085E-2</v>
      </c>
      <c r="I117"/>
      <c r="O117" s="13"/>
    </row>
    <row r="118" spans="1:33">
      <c r="A118" s="140"/>
      <c r="B118" s="416" t="str">
        <f t="shared" si="13"/>
        <v>Ribbon</v>
      </c>
      <c r="C118" s="862">
        <f t="shared" si="10"/>
        <v>3.2327586206896554E-2</v>
      </c>
      <c r="D118" s="15">
        <f t="shared" si="11"/>
        <v>2.4885110294117645E-2</v>
      </c>
      <c r="E118" s="864"/>
      <c r="F118" s="111"/>
      <c r="G118" s="864"/>
      <c r="H118" s="20">
        <f t="shared" si="12"/>
        <v>0</v>
      </c>
      <c r="I118"/>
    </row>
    <row r="119" spans="1:33">
      <c r="A119" s="140"/>
      <c r="B119" s="416" t="str">
        <f t="shared" si="13"/>
        <v>Depreciation</v>
      </c>
      <c r="C119" s="862">
        <f>C80</f>
        <v>2.8367725911373737E-2</v>
      </c>
      <c r="D119" s="15">
        <f t="shared" si="11"/>
        <v>2.7825401739538649E-2</v>
      </c>
      <c r="E119" s="864"/>
      <c r="F119" s="111"/>
      <c r="G119" s="864"/>
      <c r="H119" s="20">
        <f t="shared" si="12"/>
        <v>2.307472339376376E-2</v>
      </c>
      <c r="I119"/>
    </row>
    <row r="120" spans="1:33" s="13" customFormat="1">
      <c r="A120" s="140"/>
      <c r="B120" s="416" t="str">
        <f t="shared" si="13"/>
        <v>Yield Loss</v>
      </c>
      <c r="C120" s="862">
        <f t="shared" si="10"/>
        <v>2.4686836894118658E-2</v>
      </c>
      <c r="D120" s="15">
        <f t="shared" si="11"/>
        <v>1.7065168730143299E-2</v>
      </c>
      <c r="E120" s="864"/>
      <c r="F120" s="111"/>
      <c r="G120" s="864"/>
      <c r="H120" s="20">
        <f t="shared" si="12"/>
        <v>1.0141909102574787E-2</v>
      </c>
      <c r="I120"/>
      <c r="J120"/>
      <c r="K120"/>
      <c r="L120"/>
      <c r="M120"/>
      <c r="N120"/>
      <c r="AG120"/>
    </row>
    <row r="121" spans="1:33" s="13" customFormat="1">
      <c r="A121" s="140"/>
      <c r="B121" s="416" t="str">
        <f t="shared" si="13"/>
        <v>Maintenance</v>
      </c>
      <c r="C121" s="862">
        <f t="shared" si="10"/>
        <v>8.9931598926761419E-3</v>
      </c>
      <c r="D121" s="15">
        <f t="shared" si="11"/>
        <v>7.9611617319037108E-3</v>
      </c>
      <c r="E121" s="864"/>
      <c r="F121" s="111"/>
      <c r="G121" s="864"/>
      <c r="H121" s="20">
        <f t="shared" si="12"/>
        <v>6.6019389971884437E-3</v>
      </c>
      <c r="I121"/>
      <c r="J121"/>
      <c r="K121"/>
      <c r="L121"/>
      <c r="M121"/>
      <c r="N121"/>
      <c r="O121"/>
      <c r="AG121"/>
    </row>
    <row r="122" spans="1:33" s="13" customFormat="1">
      <c r="A122" s="140"/>
      <c r="B122" s="416" t="str">
        <f t="shared" si="13"/>
        <v>Input Electricity</v>
      </c>
      <c r="C122" s="862">
        <f t="shared" si="10"/>
        <v>3.4758620689655179E-3</v>
      </c>
      <c r="D122" s="15">
        <f t="shared" si="11"/>
        <v>3.8117647058823526E-3</v>
      </c>
      <c r="E122" s="864"/>
      <c r="F122" s="111"/>
      <c r="G122" s="864"/>
      <c r="H122" s="20">
        <f t="shared" si="12"/>
        <v>3.1609756097560975E-3</v>
      </c>
      <c r="I122"/>
      <c r="J122"/>
      <c r="K122"/>
      <c r="L122"/>
      <c r="M122"/>
      <c r="N122"/>
      <c r="O122"/>
      <c r="AG122"/>
    </row>
    <row r="123" spans="1:33" s="13" customFormat="1" ht="15" thickBot="1">
      <c r="A123" s="140"/>
      <c r="B123" s="416" t="str">
        <f t="shared" si="13"/>
        <v>Packaging</v>
      </c>
      <c r="C123" s="892">
        <f t="shared" si="10"/>
        <v>3.1034482758620693E-3</v>
      </c>
      <c r="D123" s="22">
        <f t="shared" si="11"/>
        <v>2.3889705882352941E-3</v>
      </c>
      <c r="E123" s="868"/>
      <c r="F123" s="127"/>
      <c r="G123" s="868"/>
      <c r="H123" s="327">
        <f t="shared" si="12"/>
        <v>1.98109756097561E-3</v>
      </c>
      <c r="I123"/>
      <c r="J123"/>
      <c r="K123"/>
      <c r="L123"/>
      <c r="M123"/>
      <c r="N123"/>
      <c r="O123"/>
      <c r="AG123"/>
    </row>
    <row r="124" spans="1:33">
      <c r="A124" s="141" t="s">
        <v>75</v>
      </c>
      <c r="B124" s="325" t="s">
        <v>73</v>
      </c>
      <c r="C124" s="865">
        <f>C86</f>
        <v>0</v>
      </c>
      <c r="D124" s="26">
        <f>E86</f>
        <v>0</v>
      </c>
      <c r="E124" s="867"/>
      <c r="F124" s="137"/>
      <c r="G124" s="867"/>
      <c r="H124" s="18">
        <f>D86</f>
        <v>0</v>
      </c>
      <c r="I124"/>
    </row>
    <row r="125" spans="1:33">
      <c r="A125" s="141"/>
      <c r="B125" s="19" t="s">
        <v>76</v>
      </c>
      <c r="C125" s="862">
        <f>C87</f>
        <v>0</v>
      </c>
      <c r="D125" s="15">
        <f>E87</f>
        <v>0</v>
      </c>
      <c r="E125" s="864"/>
      <c r="F125" s="111"/>
      <c r="G125" s="864"/>
      <c r="H125" s="20">
        <f>D87</f>
        <v>0</v>
      </c>
      <c r="I125"/>
    </row>
    <row r="126" spans="1:33" s="13" customFormat="1" ht="15" thickBot="1">
      <c r="A126" s="140"/>
      <c r="B126" s="23" t="s">
        <v>38</v>
      </c>
      <c r="C126" s="892">
        <f>C88</f>
        <v>0</v>
      </c>
      <c r="D126" s="22">
        <f>E88</f>
        <v>0</v>
      </c>
      <c r="E126" s="868"/>
      <c r="F126" s="127"/>
      <c r="G126" s="868"/>
      <c r="H126" s="327">
        <f>D88</f>
        <v>0</v>
      </c>
      <c r="I126"/>
      <c r="J126"/>
      <c r="K126"/>
      <c r="L126"/>
      <c r="M126"/>
      <c r="N126"/>
      <c r="O126"/>
      <c r="AG126"/>
    </row>
    <row r="127" spans="1:33">
      <c r="A127" s="328" t="s">
        <v>184</v>
      </c>
      <c r="B127" s="727" t="s">
        <v>174</v>
      </c>
      <c r="C127" s="867"/>
      <c r="D127" s="137"/>
      <c r="E127" s="867">
        <f>'2020 LOS Domestic'!H48-'2020 Waferfall 1'!H48</f>
        <v>0.14648415553527716</v>
      </c>
      <c r="F127" s="137">
        <f>'2020 Waferfall 1'!H48-'2020 Waferfall 2'!H48</f>
        <v>0.13119712365334191</v>
      </c>
      <c r="G127" s="867">
        <f>'2020 Waferfall 2'!H48-'2020 Waferfall 3'!H48</f>
        <v>8.9640391631044647E-2</v>
      </c>
      <c r="H127" s="123"/>
      <c r="I127"/>
    </row>
    <row r="128" spans="1:33">
      <c r="B128" s="416" t="s">
        <v>173</v>
      </c>
      <c r="C128" s="864"/>
      <c r="D128" s="526"/>
      <c r="E128" s="862">
        <f>F128+F127</f>
        <v>0.74349914087013202</v>
      </c>
      <c r="F128" s="413">
        <f>G128+G127</f>
        <v>0.61230201721679012</v>
      </c>
      <c r="G128" s="862">
        <f>SUM(H96:H126)</f>
        <v>0.52266162558574547</v>
      </c>
      <c r="H128" s="124"/>
      <c r="I128"/>
    </row>
    <row r="129" spans="1:53" ht="15" thickBot="1">
      <c r="B129" s="419" t="s">
        <v>238</v>
      </c>
      <c r="C129" s="868"/>
      <c r="D129" s="127"/>
      <c r="E129" s="894">
        <f>E127*-1</f>
        <v>-0.14648415553527716</v>
      </c>
      <c r="F129" s="794">
        <f>F127*-1</f>
        <v>-0.13119712365334191</v>
      </c>
      <c r="G129" s="894">
        <f>G127*-1</f>
        <v>-8.9640391631044647E-2</v>
      </c>
      <c r="H129" s="125"/>
      <c r="I129"/>
    </row>
    <row r="130" spans="1:53" ht="15" thickBot="1">
      <c r="A130" s="328" t="s">
        <v>6</v>
      </c>
      <c r="B130" s="815"/>
      <c r="C130" s="893">
        <f t="shared" ref="C130:H130" si="14">SUM(C96:C126)</f>
        <v>1.2927180595475551</v>
      </c>
      <c r="D130" s="876">
        <f t="shared" si="14"/>
        <v>0.88998329640540919</v>
      </c>
      <c r="E130" s="893">
        <f t="shared" si="14"/>
        <v>0</v>
      </c>
      <c r="F130" s="876">
        <f t="shared" si="14"/>
        <v>0</v>
      </c>
      <c r="G130" s="893">
        <f t="shared" si="14"/>
        <v>0</v>
      </c>
      <c r="H130" s="877">
        <f t="shared" si="14"/>
        <v>0.52266162558574547</v>
      </c>
      <c r="I130"/>
    </row>
    <row r="131" spans="1:53">
      <c r="A131" s="111"/>
      <c r="B131" s="7"/>
      <c r="C131" s="111"/>
      <c r="D131" s="111"/>
      <c r="E131" s="111"/>
      <c r="F131" s="111"/>
      <c r="G131" s="111"/>
      <c r="H131" s="111"/>
      <c r="I131" s="111"/>
      <c r="J131" s="111"/>
      <c r="K131" s="111"/>
      <c r="L131" s="111"/>
      <c r="M131" s="111"/>
      <c r="N131" s="111"/>
      <c r="O131" s="111"/>
    </row>
    <row r="132" spans="1:53">
      <c r="A132" s="111"/>
      <c r="B132" s="144"/>
      <c r="I132" s="111"/>
      <c r="J132" s="111"/>
      <c r="K132" s="111"/>
      <c r="L132" s="111"/>
      <c r="M132" s="111"/>
      <c r="N132" s="111"/>
      <c r="O132" s="111"/>
    </row>
    <row r="133" spans="1:53">
      <c r="A133" s="111"/>
      <c r="B133" s="16"/>
      <c r="C133" s="861"/>
      <c r="D133" s="861"/>
      <c r="E133" s="861"/>
      <c r="F133" s="861"/>
      <c r="G133" s="861"/>
      <c r="H133" s="861"/>
      <c r="I133" s="111"/>
      <c r="J133" s="111"/>
      <c r="K133" s="111"/>
      <c r="L133" s="111"/>
      <c r="M133" s="111"/>
      <c r="N133" s="111"/>
      <c r="O133" s="111"/>
      <c r="AT133" s="111"/>
      <c r="AU133" s="111"/>
      <c r="AV133" s="111"/>
      <c r="AW133" s="111"/>
      <c r="AX133" s="111"/>
      <c r="AY133" s="111"/>
      <c r="AZ133" s="111"/>
      <c r="BA133" s="111"/>
    </row>
    <row r="134" spans="1:53">
      <c r="A134" s="111"/>
      <c r="B134" s="7"/>
      <c r="C134" s="860"/>
      <c r="D134" s="860"/>
      <c r="E134" s="858"/>
      <c r="F134" s="858"/>
      <c r="G134" s="858"/>
      <c r="H134" s="860"/>
      <c r="I134" s="111"/>
      <c r="J134" s="111"/>
      <c r="K134" s="111"/>
      <c r="L134" s="111"/>
      <c r="M134" s="111"/>
      <c r="N134" s="111"/>
      <c r="O134" s="111"/>
      <c r="AT134" s="111"/>
      <c r="AU134" s="111"/>
      <c r="AV134" s="111"/>
      <c r="AW134" s="111"/>
      <c r="AX134" s="111"/>
      <c r="AY134" s="111"/>
      <c r="AZ134" s="111"/>
      <c r="BA134" s="111"/>
    </row>
    <row r="135" spans="1:53" s="110" customFormat="1">
      <c r="A135" s="111"/>
      <c r="B135" s="329"/>
      <c r="C135" s="860"/>
      <c r="D135" s="860"/>
      <c r="E135" s="861"/>
      <c r="F135" s="861"/>
      <c r="G135" s="861"/>
      <c r="H135" s="860"/>
      <c r="I135" s="111"/>
      <c r="J135" s="111"/>
      <c r="K135" s="111"/>
      <c r="L135" s="111"/>
      <c r="M135" s="111"/>
      <c r="N135" s="111"/>
      <c r="O135" s="111"/>
      <c r="AG135"/>
      <c r="AT135" s="111"/>
      <c r="AU135" s="111"/>
      <c r="AV135" s="111"/>
      <c r="AW135" s="111"/>
      <c r="AX135" s="111"/>
      <c r="AY135" s="111"/>
      <c r="AZ135" s="111"/>
      <c r="BA135" s="111"/>
    </row>
    <row r="136" spans="1:53" s="110" customFormat="1">
      <c r="A136" s="111"/>
      <c r="B136" s="16"/>
      <c r="C136" s="860"/>
      <c r="D136" s="860"/>
      <c r="E136" s="861"/>
      <c r="F136" s="861"/>
      <c r="G136" s="861"/>
      <c r="H136" s="860"/>
      <c r="I136" s="111"/>
      <c r="J136" s="111"/>
      <c r="K136" s="111"/>
      <c r="L136" s="111"/>
      <c r="M136" s="111"/>
      <c r="N136" s="111"/>
      <c r="O136" s="111"/>
      <c r="AG136"/>
      <c r="AT136" s="111"/>
      <c r="AU136" s="111"/>
      <c r="AV136" s="111"/>
      <c r="AW136" s="111"/>
      <c r="AX136" s="111"/>
      <c r="AY136" s="111"/>
      <c r="AZ136" s="111"/>
      <c r="BA136" s="111"/>
    </row>
    <row r="137" spans="1:53">
      <c r="A137" s="111"/>
      <c r="B137" s="16"/>
      <c r="C137" s="860"/>
      <c r="D137" s="860"/>
      <c r="E137" s="861"/>
      <c r="F137" s="861"/>
      <c r="G137" s="861"/>
      <c r="H137" s="860"/>
      <c r="I137" s="111"/>
      <c r="J137" s="111"/>
      <c r="K137" s="111"/>
      <c r="L137" s="111"/>
      <c r="M137" s="111"/>
      <c r="N137" s="111"/>
      <c r="O137" s="111"/>
      <c r="AT137" s="111"/>
      <c r="AU137" s="111"/>
      <c r="AV137" s="111"/>
      <c r="AW137" s="111"/>
      <c r="AX137" s="111"/>
      <c r="AY137" s="111"/>
      <c r="AZ137" s="111"/>
      <c r="BA137" s="111"/>
    </row>
    <row r="138" spans="1:53">
      <c r="A138" s="111"/>
      <c r="B138" s="16"/>
      <c r="C138" s="860"/>
      <c r="D138" s="860"/>
      <c r="E138" s="866"/>
      <c r="F138" s="861"/>
      <c r="G138" s="861"/>
      <c r="H138" s="860"/>
      <c r="I138" s="111"/>
      <c r="J138" s="111"/>
      <c r="K138" s="111"/>
      <c r="L138" s="111"/>
      <c r="M138" s="111"/>
      <c r="N138" s="111"/>
      <c r="O138" s="111"/>
      <c r="AT138" s="111"/>
      <c r="AU138" s="111"/>
      <c r="AV138" s="111"/>
      <c r="AW138" s="111"/>
      <c r="AX138" s="111"/>
      <c r="AY138" s="111"/>
      <c r="AZ138" s="111"/>
      <c r="BA138" s="111"/>
    </row>
    <row r="139" spans="1:53">
      <c r="A139" s="111"/>
      <c r="B139" s="16"/>
      <c r="C139" s="860"/>
      <c r="D139" s="860"/>
      <c r="E139" s="866"/>
      <c r="F139" s="861"/>
      <c r="G139" s="866"/>
      <c r="H139" s="860"/>
      <c r="I139" s="111"/>
      <c r="J139" s="111"/>
      <c r="K139" s="111"/>
      <c r="L139" s="111"/>
      <c r="M139" s="111"/>
      <c r="N139" s="111"/>
      <c r="O139" s="111"/>
      <c r="AT139" s="111"/>
      <c r="AU139" s="111"/>
      <c r="AV139" s="111"/>
      <c r="AW139" s="111"/>
      <c r="AX139" s="111"/>
      <c r="AY139" s="111"/>
      <c r="AZ139" s="111"/>
      <c r="BA139" s="111"/>
    </row>
    <row r="140" spans="1:53">
      <c r="A140" s="111"/>
      <c r="B140" s="16"/>
      <c r="C140" s="860"/>
      <c r="D140" s="860"/>
      <c r="E140" s="866"/>
      <c r="F140" s="861"/>
      <c r="G140" s="866"/>
      <c r="H140" s="860"/>
      <c r="I140" s="111"/>
      <c r="J140" s="111"/>
      <c r="K140" s="111"/>
      <c r="L140" s="111"/>
      <c r="M140" s="111"/>
      <c r="N140" s="111"/>
      <c r="O140" s="111"/>
      <c r="AT140" s="111"/>
      <c r="AU140" s="111"/>
      <c r="AV140" s="111"/>
      <c r="AW140" s="111"/>
      <c r="AX140" s="111"/>
      <c r="AY140" s="111"/>
      <c r="AZ140" s="111"/>
      <c r="BA140" s="111"/>
    </row>
    <row r="141" spans="1:53">
      <c r="A141" s="111"/>
      <c r="B141" s="16"/>
      <c r="C141" s="860"/>
      <c r="D141" s="860"/>
      <c r="E141" s="866"/>
      <c r="F141" s="861"/>
      <c r="G141" s="866"/>
      <c r="H141" s="860"/>
      <c r="I141" s="111"/>
      <c r="J141" s="111"/>
      <c r="K141" s="111"/>
      <c r="L141" s="111"/>
      <c r="M141" s="111"/>
      <c r="N141" s="111"/>
      <c r="O141" s="111"/>
      <c r="AT141" s="111"/>
      <c r="AU141" s="111"/>
      <c r="AV141" s="111"/>
      <c r="AW141" s="111"/>
      <c r="AX141" s="111"/>
      <c r="AY141" s="111"/>
      <c r="AZ141" s="111"/>
      <c r="BA141" s="111"/>
    </row>
    <row r="142" spans="1:53">
      <c r="A142" s="111"/>
      <c r="B142" s="330"/>
      <c r="C142" s="860"/>
      <c r="D142" s="860"/>
      <c r="E142" s="866"/>
      <c r="F142" s="861"/>
      <c r="G142" s="866"/>
      <c r="H142" s="860"/>
      <c r="I142" s="111"/>
      <c r="J142" s="111"/>
      <c r="K142" s="111"/>
      <c r="L142" s="111"/>
      <c r="M142" s="111"/>
      <c r="N142" s="111"/>
      <c r="O142" s="111"/>
      <c r="AT142" s="111"/>
      <c r="AU142" s="111"/>
      <c r="AV142" s="111"/>
      <c r="AW142" s="111"/>
      <c r="AX142" s="111"/>
      <c r="AY142" s="111"/>
      <c r="AZ142" s="111"/>
      <c r="BA142" s="111"/>
    </row>
    <row r="143" spans="1:53" s="110" customFormat="1">
      <c r="A143" s="111"/>
      <c r="B143" s="16"/>
      <c r="C143" s="860"/>
      <c r="D143" s="860"/>
      <c r="E143" s="866"/>
      <c r="F143" s="861"/>
      <c r="G143" s="866"/>
      <c r="H143" s="860"/>
      <c r="I143" s="111"/>
      <c r="J143" s="111"/>
      <c r="K143" s="111"/>
      <c r="L143" s="111"/>
      <c r="M143" s="111"/>
      <c r="N143" s="111"/>
      <c r="O143" s="111"/>
      <c r="AG143"/>
      <c r="AT143" s="111"/>
      <c r="AU143" s="111"/>
      <c r="AV143" s="111"/>
      <c r="AW143" s="111"/>
      <c r="AX143" s="111"/>
      <c r="AY143" s="111"/>
      <c r="AZ143" s="111"/>
      <c r="BA143" s="111"/>
    </row>
    <row r="144" spans="1:53" s="110" customFormat="1">
      <c r="A144" s="331"/>
      <c r="B144" s="16"/>
      <c r="C144" s="860"/>
      <c r="D144" s="860"/>
      <c r="E144" s="866"/>
      <c r="F144" s="861"/>
      <c r="G144" s="866"/>
      <c r="H144" s="860"/>
      <c r="I144" s="111"/>
      <c r="J144" s="111"/>
      <c r="K144" s="111"/>
      <c r="L144" s="111"/>
      <c r="M144" s="111"/>
      <c r="N144" s="111"/>
      <c r="O144" s="111"/>
      <c r="AG144" s="13"/>
      <c r="AT144" s="111"/>
      <c r="AU144" s="111"/>
      <c r="AV144" s="111"/>
      <c r="AW144" s="111"/>
      <c r="AX144" s="111"/>
      <c r="AY144" s="111"/>
      <c r="AZ144" s="111"/>
      <c r="BA144" s="111"/>
    </row>
    <row r="145" spans="1:53" s="110" customFormat="1">
      <c r="A145" s="332"/>
      <c r="B145" s="16"/>
      <c r="C145" s="860"/>
      <c r="D145" s="860"/>
      <c r="E145" s="866"/>
      <c r="F145" s="861"/>
      <c r="G145" s="866"/>
      <c r="H145" s="860"/>
      <c r="I145" s="111"/>
      <c r="J145" s="111"/>
      <c r="K145" s="111"/>
      <c r="L145" s="111"/>
      <c r="M145" s="111"/>
      <c r="N145" s="111"/>
      <c r="O145" s="111"/>
      <c r="AG145"/>
      <c r="AT145" s="111"/>
      <c r="AU145" s="111"/>
      <c r="AV145" s="111"/>
      <c r="AW145" s="111"/>
      <c r="AX145" s="111"/>
      <c r="AY145" s="111"/>
      <c r="AZ145" s="111"/>
      <c r="BA145" s="111"/>
    </row>
    <row r="146" spans="1:53">
      <c r="A146" s="332"/>
      <c r="B146" s="16"/>
      <c r="C146" s="860"/>
      <c r="D146" s="860"/>
      <c r="E146" s="866"/>
      <c r="F146" s="861"/>
      <c r="G146" s="866"/>
      <c r="H146" s="860"/>
      <c r="I146" s="111"/>
      <c r="J146" s="111"/>
      <c r="K146" s="111"/>
      <c r="L146" s="111"/>
      <c r="M146" s="111"/>
      <c r="N146" s="111"/>
      <c r="O146" s="111"/>
      <c r="AT146" s="111"/>
      <c r="AU146" s="111"/>
      <c r="AV146" s="111"/>
      <c r="AW146" s="111"/>
      <c r="AX146" s="111"/>
      <c r="AY146" s="111"/>
      <c r="AZ146" s="111"/>
      <c r="BA146" s="111"/>
    </row>
    <row r="147" spans="1:53">
      <c r="A147" s="332"/>
      <c r="B147" s="16"/>
      <c r="C147" s="860"/>
      <c r="D147" s="860"/>
      <c r="E147" s="861"/>
      <c r="F147" s="861"/>
      <c r="G147" s="866"/>
      <c r="H147" s="860"/>
      <c r="I147" s="111"/>
      <c r="J147" s="111"/>
      <c r="K147" s="111"/>
      <c r="L147" s="111"/>
      <c r="M147" s="111"/>
      <c r="N147" s="111"/>
      <c r="O147" s="111"/>
      <c r="AT147" s="111"/>
      <c r="AU147" s="111"/>
      <c r="AV147" s="111"/>
      <c r="AW147" s="111"/>
      <c r="AX147" s="111"/>
      <c r="AY147" s="111"/>
      <c r="AZ147" s="111"/>
      <c r="BA147" s="111"/>
    </row>
    <row r="148" spans="1:53">
      <c r="A148" s="16"/>
      <c r="B148" s="16"/>
      <c r="C148" s="860"/>
      <c r="D148" s="860"/>
      <c r="E148" s="861"/>
      <c r="F148" s="861"/>
      <c r="G148" s="861"/>
      <c r="H148" s="860"/>
      <c r="I148" s="111"/>
      <c r="J148" s="111"/>
      <c r="K148" s="111"/>
      <c r="L148" s="111"/>
      <c r="M148" s="111"/>
      <c r="N148" s="111"/>
      <c r="O148" s="111"/>
      <c r="AT148" s="111"/>
      <c r="AU148" s="111"/>
      <c r="AV148" s="111"/>
      <c r="AW148" s="111"/>
      <c r="AX148" s="111"/>
      <c r="AY148" s="111"/>
      <c r="AZ148" s="111"/>
      <c r="BA148" s="111"/>
    </row>
    <row r="149" spans="1:53" s="11" customFormat="1">
      <c r="A149" s="332"/>
      <c r="B149" s="16"/>
      <c r="C149" s="860"/>
      <c r="D149" s="860"/>
      <c r="E149" s="861"/>
      <c r="F149" s="861"/>
      <c r="G149" s="861"/>
      <c r="H149" s="860"/>
      <c r="I149" s="111"/>
      <c r="J149" s="111"/>
      <c r="K149" s="111"/>
      <c r="L149" s="111"/>
      <c r="M149" s="111"/>
      <c r="N149" s="111"/>
      <c r="O149" s="111"/>
      <c r="AG149"/>
      <c r="AT149" s="111"/>
      <c r="AU149" s="111"/>
      <c r="AV149" s="111"/>
      <c r="AW149" s="111"/>
      <c r="AX149" s="111"/>
      <c r="AY149" s="111"/>
      <c r="AZ149" s="111"/>
      <c r="BA149" s="111"/>
    </row>
    <row r="150" spans="1:53" s="110" customFormat="1">
      <c r="A150" s="332"/>
      <c r="B150" s="16"/>
      <c r="C150" s="860"/>
      <c r="D150" s="860"/>
      <c r="E150" s="861"/>
      <c r="F150" s="861"/>
      <c r="G150" s="861"/>
      <c r="H150" s="860"/>
      <c r="I150" s="111"/>
      <c r="J150" s="111"/>
      <c r="K150" s="111"/>
      <c r="L150" s="111"/>
      <c r="M150" s="111"/>
      <c r="N150" s="111"/>
      <c r="O150" s="111"/>
      <c r="AG150"/>
      <c r="AT150" s="111"/>
      <c r="AU150" s="111"/>
      <c r="AV150" s="111"/>
      <c r="AW150" s="111"/>
      <c r="AX150" s="111"/>
      <c r="AY150" s="111"/>
      <c r="AZ150" s="111"/>
      <c r="BA150" s="111"/>
    </row>
    <row r="151" spans="1:53" s="110" customFormat="1">
      <c r="A151" s="332"/>
      <c r="B151" s="330"/>
      <c r="C151" s="860"/>
      <c r="D151" s="860"/>
      <c r="E151" s="861"/>
      <c r="F151" s="861"/>
      <c r="G151" s="861"/>
      <c r="H151" s="860"/>
      <c r="I151" s="111"/>
      <c r="J151" s="111"/>
      <c r="K151" s="111"/>
      <c r="L151" s="111"/>
      <c r="M151" s="111"/>
      <c r="N151" s="111"/>
      <c r="O151" s="111"/>
      <c r="AG151"/>
      <c r="AT151" s="111"/>
      <c r="AU151" s="111"/>
      <c r="AV151" s="111"/>
      <c r="AW151" s="111"/>
      <c r="AX151" s="111"/>
      <c r="AY151" s="111"/>
      <c r="AZ151" s="111"/>
      <c r="BA151" s="111"/>
    </row>
    <row r="152" spans="1:53" s="110" customFormat="1">
      <c r="A152" s="331"/>
      <c r="B152" s="16"/>
      <c r="C152" s="860"/>
      <c r="D152" s="860"/>
      <c r="E152" s="861"/>
      <c r="F152" s="861"/>
      <c r="G152" s="861"/>
      <c r="H152" s="860"/>
      <c r="I152" s="111"/>
      <c r="J152" s="111"/>
      <c r="K152" s="111"/>
      <c r="L152" s="111"/>
      <c r="M152" s="111"/>
      <c r="N152" s="111"/>
      <c r="O152" s="111"/>
      <c r="AG152"/>
      <c r="AT152" s="111"/>
      <c r="AU152" s="111"/>
      <c r="AV152" s="111"/>
      <c r="AW152" s="111"/>
      <c r="AX152" s="111"/>
      <c r="AY152" s="111"/>
      <c r="AZ152" s="111"/>
      <c r="BA152" s="111"/>
    </row>
    <row r="153" spans="1:53" s="110" customFormat="1">
      <c r="A153" s="332"/>
      <c r="B153" s="16"/>
      <c r="C153" s="860"/>
      <c r="D153" s="860"/>
      <c r="E153" s="861"/>
      <c r="F153" s="861"/>
      <c r="G153" s="861"/>
      <c r="H153" s="860"/>
      <c r="I153" s="111"/>
      <c r="J153" s="111"/>
      <c r="K153" s="111"/>
      <c r="L153" s="111"/>
      <c r="M153" s="111"/>
      <c r="N153" s="111"/>
      <c r="O153" s="111"/>
      <c r="AG153"/>
      <c r="AT153" s="111"/>
      <c r="AU153" s="111"/>
      <c r="AV153" s="111"/>
      <c r="AW153" s="111"/>
      <c r="AX153" s="111"/>
      <c r="AY153" s="111"/>
      <c r="AZ153" s="111"/>
      <c r="BA153" s="111"/>
    </row>
    <row r="154" spans="1:53">
      <c r="A154" s="332"/>
      <c r="B154" s="16"/>
      <c r="C154" s="860"/>
      <c r="D154" s="860"/>
      <c r="E154" s="861"/>
      <c r="F154" s="861"/>
      <c r="G154" s="861"/>
      <c r="H154" s="860"/>
      <c r="I154" s="111"/>
      <c r="J154" s="111"/>
      <c r="K154" s="111"/>
      <c r="L154" s="111"/>
      <c r="M154" s="111"/>
      <c r="N154" s="111"/>
      <c r="O154" s="111"/>
      <c r="AT154" s="111"/>
      <c r="AU154" s="111"/>
      <c r="AV154" s="111"/>
      <c r="AW154" s="111"/>
      <c r="AX154" s="111"/>
      <c r="AY154" s="111"/>
      <c r="AZ154" s="111"/>
      <c r="BA154" s="111"/>
    </row>
    <row r="155" spans="1:53">
      <c r="A155" s="16"/>
      <c r="B155" s="16"/>
      <c r="C155" s="860"/>
      <c r="D155" s="860"/>
      <c r="E155" s="861"/>
      <c r="F155" s="861"/>
      <c r="G155" s="861"/>
      <c r="H155" s="860"/>
      <c r="I155" s="111"/>
      <c r="J155" s="111"/>
      <c r="K155" s="111"/>
      <c r="L155" s="111"/>
      <c r="M155" s="111"/>
      <c r="N155" s="111"/>
      <c r="O155" s="111"/>
      <c r="AT155" s="111"/>
      <c r="AU155" s="111"/>
      <c r="AV155" s="111"/>
      <c r="AW155" s="111"/>
      <c r="AX155" s="111"/>
      <c r="AY155" s="111"/>
      <c r="AZ155" s="111"/>
      <c r="BA155" s="111"/>
    </row>
    <row r="156" spans="1:53">
      <c r="A156" s="332"/>
      <c r="B156" s="16"/>
      <c r="C156" s="860"/>
      <c r="D156" s="860"/>
      <c r="E156" s="861"/>
      <c r="F156" s="861"/>
      <c r="G156" s="861"/>
      <c r="H156" s="860"/>
      <c r="I156" s="111"/>
      <c r="J156" s="111"/>
      <c r="K156" s="111"/>
      <c r="L156" s="111"/>
      <c r="M156" s="111"/>
      <c r="N156" s="111"/>
      <c r="O156" s="111"/>
      <c r="AT156" s="111"/>
      <c r="AU156" s="111"/>
      <c r="AV156" s="111"/>
      <c r="AW156" s="111"/>
      <c r="AX156" s="111"/>
      <c r="AY156" s="111"/>
      <c r="AZ156" s="111"/>
      <c r="BA156" s="111"/>
    </row>
    <row r="157" spans="1:53">
      <c r="A157" s="332"/>
      <c r="B157" s="16"/>
      <c r="C157" s="860"/>
      <c r="D157" s="860"/>
      <c r="E157" s="861"/>
      <c r="F157" s="861"/>
      <c r="G157" s="861"/>
      <c r="H157" s="860"/>
      <c r="I157" s="111"/>
      <c r="J157" s="111"/>
      <c r="K157" s="111"/>
      <c r="L157" s="111"/>
      <c r="M157" s="111"/>
      <c r="N157" s="111"/>
      <c r="O157" s="111"/>
      <c r="AT157" s="111"/>
      <c r="AU157" s="111"/>
      <c r="AV157" s="111"/>
      <c r="AW157" s="111"/>
      <c r="AX157" s="111"/>
      <c r="AY157" s="111"/>
      <c r="AZ157" s="111"/>
      <c r="BA157" s="111"/>
    </row>
    <row r="158" spans="1:53" s="110" customFormat="1">
      <c r="A158" s="332"/>
      <c r="B158" s="16"/>
      <c r="C158" s="860"/>
      <c r="D158" s="860"/>
      <c r="E158" s="861"/>
      <c r="F158" s="861"/>
      <c r="G158" s="861"/>
      <c r="H158" s="860"/>
      <c r="I158" s="111"/>
      <c r="J158" s="111"/>
      <c r="K158" s="111"/>
      <c r="L158" s="111"/>
      <c r="M158" s="111"/>
      <c r="N158" s="111"/>
      <c r="O158" s="111"/>
      <c r="AT158" s="111"/>
      <c r="AU158" s="111"/>
      <c r="AV158" s="111"/>
      <c r="AW158" s="111"/>
      <c r="AX158" s="111"/>
      <c r="AY158" s="111"/>
      <c r="AZ158" s="111"/>
      <c r="BA158" s="111"/>
    </row>
    <row r="159" spans="1:53" s="110" customFormat="1">
      <c r="A159" s="332"/>
      <c r="B159" s="16"/>
      <c r="C159" s="860"/>
      <c r="D159" s="860"/>
      <c r="E159" s="861"/>
      <c r="F159" s="861"/>
      <c r="G159" s="861"/>
      <c r="H159" s="860"/>
      <c r="I159" s="111"/>
      <c r="J159" s="111"/>
      <c r="K159" s="111"/>
      <c r="L159" s="111"/>
      <c r="M159" s="111"/>
      <c r="N159" s="111"/>
      <c r="O159" s="111"/>
      <c r="AT159" s="111"/>
      <c r="AU159" s="111"/>
      <c r="AV159" s="111"/>
      <c r="AW159" s="111"/>
      <c r="AX159" s="111"/>
      <c r="AY159" s="111"/>
      <c r="AZ159" s="111"/>
      <c r="BA159" s="111"/>
    </row>
    <row r="160" spans="1:53" s="110" customFormat="1">
      <c r="A160" s="332"/>
      <c r="B160" s="16"/>
      <c r="C160" s="860"/>
      <c r="D160" s="860"/>
      <c r="E160" s="861"/>
      <c r="F160" s="861"/>
      <c r="G160" s="861"/>
      <c r="H160" s="860"/>
      <c r="I160" s="111"/>
      <c r="J160" s="111"/>
      <c r="K160" s="111"/>
      <c r="L160" s="111"/>
      <c r="M160" s="111"/>
      <c r="N160" s="111"/>
      <c r="O160" s="111"/>
      <c r="AT160" s="111"/>
      <c r="AU160" s="111"/>
      <c r="AV160" s="111"/>
      <c r="AW160" s="111"/>
      <c r="AX160" s="111"/>
      <c r="AY160" s="111"/>
      <c r="AZ160" s="111"/>
      <c r="BA160" s="111"/>
    </row>
    <row r="161" spans="1:53" s="110" customFormat="1">
      <c r="A161" s="332"/>
      <c r="B161" s="16"/>
      <c r="C161" s="860"/>
      <c r="D161" s="860"/>
      <c r="E161" s="861"/>
      <c r="F161" s="861"/>
      <c r="G161" s="861"/>
      <c r="H161" s="860"/>
      <c r="I161" s="111"/>
      <c r="J161" s="111"/>
      <c r="K161" s="111"/>
      <c r="L161" s="111"/>
      <c r="M161" s="111"/>
      <c r="N161" s="111"/>
      <c r="O161" s="111"/>
      <c r="AT161" s="111"/>
      <c r="AU161" s="111"/>
      <c r="AV161" s="111"/>
      <c r="AW161" s="111"/>
      <c r="AX161" s="111"/>
      <c r="AY161" s="111"/>
      <c r="AZ161" s="111"/>
      <c r="BA161" s="111"/>
    </row>
    <row r="162" spans="1:53" s="110" customFormat="1">
      <c r="A162" s="332"/>
      <c r="B162" s="330"/>
      <c r="C162" s="860"/>
      <c r="D162" s="860"/>
      <c r="E162" s="861"/>
      <c r="F162" s="861"/>
      <c r="G162" s="861"/>
      <c r="H162" s="860"/>
      <c r="I162" s="111"/>
      <c r="J162" s="111"/>
      <c r="K162" s="111"/>
      <c r="L162" s="111"/>
      <c r="M162" s="111"/>
      <c r="N162" s="111"/>
      <c r="O162" s="111"/>
      <c r="AT162" s="111"/>
      <c r="AU162" s="111"/>
      <c r="AV162" s="111"/>
      <c r="AW162" s="111"/>
      <c r="AX162" s="111"/>
      <c r="AY162" s="111"/>
      <c r="AZ162" s="111"/>
      <c r="BA162" s="111"/>
    </row>
    <row r="163" spans="1:53">
      <c r="A163" s="332"/>
      <c r="B163" s="16"/>
      <c r="C163" s="860"/>
      <c r="D163" s="860"/>
      <c r="E163" s="861"/>
      <c r="F163" s="861"/>
      <c r="G163" s="861"/>
      <c r="H163" s="860"/>
      <c r="I163" s="111"/>
      <c r="J163" s="111"/>
      <c r="K163" s="111"/>
      <c r="L163" s="111"/>
      <c r="M163" s="111"/>
      <c r="N163" s="111"/>
      <c r="O163" s="111"/>
      <c r="AT163" s="111"/>
      <c r="AU163" s="111"/>
      <c r="AV163" s="111"/>
      <c r="AW163" s="111"/>
      <c r="AX163" s="111"/>
      <c r="AY163" s="111"/>
      <c r="AZ163" s="111"/>
      <c r="BA163" s="111"/>
    </row>
    <row r="164" spans="1:53">
      <c r="C164" s="860"/>
      <c r="D164" s="860"/>
      <c r="E164" s="866"/>
      <c r="F164" s="866"/>
      <c r="G164" s="866"/>
      <c r="H164" s="860"/>
      <c r="I164" s="866"/>
    </row>
    <row r="165" spans="1:53">
      <c r="C165" s="866"/>
      <c r="D165" s="866"/>
      <c r="E165" s="866"/>
      <c r="F165" s="866"/>
      <c r="G165" s="866"/>
      <c r="H165" s="866"/>
      <c r="I165" s="866"/>
    </row>
    <row r="166" spans="1:53">
      <c r="C166" s="866"/>
      <c r="D166" s="866"/>
      <c r="E166" s="866"/>
      <c r="F166" s="866"/>
      <c r="G166" s="866"/>
      <c r="H166" s="866"/>
      <c r="I166" s="866"/>
    </row>
    <row r="167" spans="1:53">
      <c r="C167" s="860"/>
      <c r="D167" s="860"/>
      <c r="E167" s="860"/>
      <c r="F167" s="860"/>
      <c r="G167" s="860"/>
      <c r="H167" s="860"/>
      <c r="I167" s="857">
        <f t="shared" ref="I167:N167" si="15">I134-I96</f>
        <v>0</v>
      </c>
      <c r="J167" s="857">
        <f t="shared" si="15"/>
        <v>0</v>
      </c>
      <c r="K167" s="857">
        <f t="shared" si="15"/>
        <v>0</v>
      </c>
      <c r="L167" s="857">
        <f t="shared" si="15"/>
        <v>0</v>
      </c>
      <c r="M167" s="857">
        <f t="shared" si="15"/>
        <v>0</v>
      </c>
      <c r="N167" s="857">
        <f t="shared" si="15"/>
        <v>0</v>
      </c>
    </row>
    <row r="168" spans="1:53">
      <c r="C168" s="860"/>
      <c r="D168" s="860"/>
      <c r="E168" s="860"/>
      <c r="F168" s="860"/>
      <c r="G168" s="860"/>
      <c r="H168" s="860"/>
      <c r="I168" s="866"/>
    </row>
    <row r="169" spans="1:53">
      <c r="C169" s="860"/>
      <c r="D169" s="860"/>
      <c r="E169" s="860"/>
      <c r="F169" s="860"/>
      <c r="G169" s="860"/>
      <c r="H169" s="860"/>
      <c r="I169" s="866"/>
    </row>
    <row r="170" spans="1:53">
      <c r="C170" s="860"/>
      <c r="D170" s="860"/>
      <c r="E170" s="860"/>
      <c r="F170" s="860"/>
      <c r="G170" s="860"/>
      <c r="H170" s="860"/>
      <c r="I170" s="866"/>
    </row>
    <row r="171" spans="1:53">
      <c r="C171" s="860"/>
      <c r="D171" s="860"/>
      <c r="E171" s="860"/>
      <c r="F171" s="860"/>
      <c r="G171" s="860"/>
      <c r="H171" s="860"/>
      <c r="I171" s="866"/>
    </row>
    <row r="172" spans="1:53">
      <c r="C172" s="860"/>
      <c r="D172" s="860"/>
      <c r="E172" s="860"/>
      <c r="F172" s="860"/>
      <c r="G172" s="860"/>
      <c r="H172" s="860"/>
      <c r="I172" s="866"/>
    </row>
    <row r="173" spans="1:53">
      <c r="C173" s="860"/>
      <c r="D173" s="860"/>
      <c r="E173" s="860"/>
      <c r="F173" s="860"/>
      <c r="G173" s="860"/>
      <c r="H173" s="860"/>
      <c r="I173" s="866"/>
    </row>
    <row r="174" spans="1:53">
      <c r="C174" s="860"/>
      <c r="D174" s="860"/>
      <c r="E174" s="860"/>
      <c r="F174" s="860"/>
      <c r="G174" s="860"/>
      <c r="H174" s="860"/>
      <c r="I174" s="866"/>
    </row>
    <row r="175" spans="1:53">
      <c r="C175" s="860"/>
      <c r="D175" s="860"/>
      <c r="E175" s="860"/>
      <c r="F175" s="860"/>
      <c r="G175" s="860"/>
      <c r="H175" s="860"/>
      <c r="I175" s="866"/>
    </row>
    <row r="176" spans="1:53">
      <c r="C176" s="860"/>
      <c r="D176" s="860"/>
      <c r="E176" s="860"/>
      <c r="F176" s="860"/>
      <c r="G176" s="860"/>
      <c r="H176" s="860"/>
      <c r="I176" s="866"/>
    </row>
    <row r="177" spans="3:9">
      <c r="C177" s="860"/>
      <c r="D177" s="860"/>
      <c r="E177" s="860"/>
      <c r="F177" s="860"/>
      <c r="G177" s="860"/>
      <c r="H177" s="860"/>
      <c r="I177" s="866"/>
    </row>
    <row r="178" spans="3:9">
      <c r="C178" s="860"/>
      <c r="D178" s="860"/>
      <c r="E178" s="860"/>
      <c r="F178" s="860"/>
      <c r="G178" s="860"/>
      <c r="H178" s="860"/>
      <c r="I178" s="866"/>
    </row>
    <row r="179" spans="3:9">
      <c r="C179" s="860"/>
      <c r="D179" s="860"/>
      <c r="E179" s="860"/>
      <c r="F179" s="860"/>
      <c r="G179" s="860"/>
      <c r="H179" s="860"/>
      <c r="I179" s="866"/>
    </row>
    <row r="180" spans="3:9">
      <c r="C180" s="860"/>
      <c r="D180" s="860"/>
      <c r="E180" s="860"/>
      <c r="F180" s="860"/>
      <c r="G180" s="860"/>
      <c r="H180" s="860"/>
      <c r="I180" s="866"/>
    </row>
    <row r="181" spans="3:9">
      <c r="C181" s="860"/>
      <c r="D181" s="860"/>
      <c r="E181" s="860"/>
      <c r="F181" s="860"/>
      <c r="G181" s="860"/>
      <c r="H181" s="860"/>
      <c r="I181" s="866"/>
    </row>
    <row r="182" spans="3:9">
      <c r="C182" s="860"/>
      <c r="D182" s="860"/>
      <c r="E182" s="860"/>
      <c r="F182" s="860"/>
      <c r="G182" s="860"/>
      <c r="H182" s="860"/>
      <c r="I182" s="866"/>
    </row>
    <row r="183" spans="3:9">
      <c r="C183" s="860"/>
      <c r="D183" s="860"/>
      <c r="E183" s="860"/>
      <c r="F183" s="860"/>
      <c r="G183" s="860"/>
      <c r="H183" s="860"/>
      <c r="I183" s="866"/>
    </row>
    <row r="184" spans="3:9">
      <c r="C184" s="860"/>
      <c r="D184" s="860"/>
      <c r="E184" s="860"/>
      <c r="F184" s="860"/>
      <c r="G184" s="860"/>
      <c r="H184" s="860"/>
      <c r="I184" s="866"/>
    </row>
    <row r="185" spans="3:9">
      <c r="C185" s="860"/>
      <c r="D185" s="860"/>
      <c r="E185" s="860"/>
      <c r="F185" s="860"/>
      <c r="G185" s="860"/>
      <c r="H185" s="860"/>
      <c r="I185" s="866"/>
    </row>
    <row r="186" spans="3:9">
      <c r="C186" s="860"/>
      <c r="D186" s="860"/>
      <c r="E186" s="860"/>
      <c r="F186" s="860"/>
      <c r="G186" s="860"/>
      <c r="H186" s="860"/>
      <c r="I186" s="866"/>
    </row>
    <row r="187" spans="3:9">
      <c r="C187" s="860"/>
      <c r="D187" s="860"/>
      <c r="E187" s="860"/>
      <c r="F187" s="860"/>
      <c r="G187" s="860"/>
      <c r="H187" s="860"/>
      <c r="I187" s="866"/>
    </row>
    <row r="188" spans="3:9">
      <c r="C188" s="860"/>
      <c r="D188" s="860"/>
      <c r="E188" s="860"/>
      <c r="F188" s="860"/>
      <c r="G188" s="860"/>
      <c r="H188" s="860"/>
      <c r="I188" s="866"/>
    </row>
    <row r="189" spans="3:9">
      <c r="C189" s="860"/>
      <c r="D189" s="860"/>
      <c r="E189" s="860"/>
      <c r="F189" s="860"/>
      <c r="G189" s="860"/>
      <c r="H189" s="860"/>
      <c r="I189" s="866"/>
    </row>
    <row r="190" spans="3:9">
      <c r="C190" s="860"/>
      <c r="D190" s="860"/>
      <c r="E190" s="860"/>
      <c r="F190" s="860"/>
      <c r="G190" s="860"/>
      <c r="H190" s="860"/>
      <c r="I190" s="866"/>
    </row>
    <row r="191" spans="3:9">
      <c r="C191" s="860"/>
      <c r="D191" s="860"/>
      <c r="E191" s="860"/>
      <c r="F191" s="860"/>
      <c r="G191" s="860"/>
      <c r="H191" s="860"/>
      <c r="I191" s="866"/>
    </row>
    <row r="192" spans="3:9">
      <c r="C192" s="860"/>
      <c r="D192" s="860"/>
      <c r="E192" s="860"/>
      <c r="F192" s="860"/>
      <c r="G192" s="860"/>
      <c r="H192" s="860"/>
      <c r="I192" s="866"/>
    </row>
    <row r="193" spans="3:9">
      <c r="C193" s="860"/>
      <c r="D193" s="860"/>
      <c r="E193" s="860"/>
      <c r="F193" s="860"/>
      <c r="G193" s="860"/>
      <c r="H193" s="860"/>
      <c r="I193" s="866"/>
    </row>
    <row r="194" spans="3:9">
      <c r="C194" s="860"/>
      <c r="D194" s="860"/>
      <c r="E194" s="860"/>
      <c r="F194" s="860"/>
      <c r="G194" s="860"/>
      <c r="H194" s="860"/>
      <c r="I194" s="866"/>
    </row>
    <row r="195" spans="3:9">
      <c r="C195" s="860"/>
      <c r="D195" s="860"/>
      <c r="E195" s="860"/>
      <c r="F195" s="860"/>
      <c r="G195" s="860"/>
      <c r="H195" s="860"/>
      <c r="I195" s="866"/>
    </row>
    <row r="196" spans="3:9">
      <c r="C196" s="860"/>
      <c r="D196" s="860"/>
      <c r="E196" s="860"/>
      <c r="F196" s="860"/>
      <c r="G196" s="860"/>
      <c r="H196" s="860"/>
      <c r="I196" s="866"/>
    </row>
    <row r="197" spans="3:9">
      <c r="C197" s="860"/>
      <c r="D197" s="860"/>
      <c r="E197" s="860"/>
      <c r="F197" s="860"/>
      <c r="G197" s="860"/>
      <c r="H197" s="860"/>
      <c r="I197" s="866"/>
    </row>
    <row r="198" spans="3:9">
      <c r="C198" s="860"/>
      <c r="D198" s="860"/>
      <c r="E198" s="860"/>
      <c r="F198" s="860"/>
      <c r="G198" s="860"/>
      <c r="H198" s="860"/>
      <c r="I198" s="866"/>
    </row>
    <row r="199" spans="3:9">
      <c r="C199" s="860"/>
      <c r="D199" s="860"/>
      <c r="E199" s="860"/>
      <c r="F199" s="860"/>
      <c r="G199" s="860"/>
      <c r="H199" s="860"/>
      <c r="I199" s="866"/>
    </row>
    <row r="200" spans="3:9">
      <c r="C200" s="860"/>
      <c r="D200" s="860"/>
      <c r="E200" s="860"/>
      <c r="F200" s="860"/>
      <c r="G200" s="860"/>
      <c r="H200" s="860"/>
      <c r="I200" s="866"/>
    </row>
    <row r="201" spans="3:9">
      <c r="C201" s="860"/>
      <c r="D201" s="860"/>
      <c r="E201" s="860"/>
      <c r="F201" s="860"/>
      <c r="G201" s="860"/>
      <c r="H201" s="860"/>
      <c r="I201" s="866"/>
    </row>
    <row r="202" spans="3:9">
      <c r="C202" s="860"/>
      <c r="D202" s="860"/>
      <c r="E202" s="860"/>
      <c r="F202" s="860"/>
      <c r="G202" s="860"/>
      <c r="H202" s="860"/>
      <c r="I202" s="866"/>
    </row>
    <row r="203" spans="3:9">
      <c r="C203" s="860"/>
      <c r="D203" s="860"/>
      <c r="E203" s="860"/>
      <c r="F203" s="860"/>
      <c r="G203" s="860"/>
      <c r="H203" s="860"/>
      <c r="I203" s="866"/>
    </row>
    <row r="204" spans="3:9">
      <c r="C204" s="860"/>
      <c r="D204" s="860"/>
      <c r="E204" s="860"/>
      <c r="F204" s="860"/>
      <c r="G204" s="860"/>
      <c r="H204" s="860"/>
      <c r="I204" s="866"/>
    </row>
    <row r="205" spans="3:9">
      <c r="C205" s="860"/>
      <c r="D205" s="860"/>
      <c r="E205" s="860"/>
      <c r="F205" s="860"/>
      <c r="G205" s="860"/>
      <c r="H205" s="860"/>
      <c r="I205" s="866"/>
    </row>
    <row r="206" spans="3:9">
      <c r="C206" s="860"/>
      <c r="D206" s="860"/>
      <c r="E206" s="860"/>
      <c r="F206" s="860"/>
      <c r="G206" s="860"/>
      <c r="H206" s="860"/>
      <c r="I206" s="866"/>
    </row>
    <row r="207" spans="3:9">
      <c r="C207" s="860"/>
      <c r="D207" s="860"/>
      <c r="E207" s="860"/>
      <c r="F207" s="860"/>
      <c r="G207" s="860"/>
      <c r="H207" s="860"/>
      <c r="I207" s="866"/>
    </row>
    <row r="208" spans="3:9">
      <c r="C208" s="860"/>
      <c r="D208" s="860"/>
      <c r="E208" s="860"/>
      <c r="F208" s="860"/>
      <c r="G208" s="860"/>
      <c r="H208" s="860"/>
      <c r="I208" s="866"/>
    </row>
    <row r="209" spans="3:9">
      <c r="C209" s="860"/>
      <c r="D209" s="860"/>
      <c r="E209" s="860"/>
      <c r="F209" s="860"/>
      <c r="G209" s="860"/>
      <c r="H209" s="860"/>
      <c r="I209" s="866"/>
    </row>
    <row r="210" spans="3:9">
      <c r="C210" s="860"/>
      <c r="D210" s="860"/>
      <c r="E210" s="860"/>
      <c r="F210" s="860"/>
      <c r="G210" s="860"/>
      <c r="H210" s="860"/>
      <c r="I210" s="866"/>
    </row>
    <row r="211" spans="3:9">
      <c r="C211" s="860"/>
      <c r="D211" s="860"/>
      <c r="E211" s="860"/>
      <c r="F211" s="860"/>
      <c r="G211" s="860"/>
      <c r="H211" s="860"/>
      <c r="I211" s="866"/>
    </row>
    <row r="212" spans="3:9">
      <c r="C212" s="860"/>
      <c r="D212" s="860"/>
      <c r="E212" s="860"/>
      <c r="F212" s="860"/>
      <c r="G212" s="860"/>
      <c r="H212" s="860"/>
      <c r="I212" s="866"/>
    </row>
    <row r="213" spans="3:9">
      <c r="C213" s="860"/>
      <c r="D213" s="860"/>
      <c r="E213" s="860"/>
      <c r="F213" s="860"/>
      <c r="G213" s="860"/>
      <c r="H213" s="860"/>
      <c r="I213" s="866"/>
    </row>
    <row r="214" spans="3:9">
      <c r="C214" s="860"/>
      <c r="D214" s="860"/>
      <c r="E214" s="860"/>
      <c r="F214" s="860"/>
      <c r="G214" s="860"/>
      <c r="H214" s="860"/>
      <c r="I214" s="866"/>
    </row>
    <row r="215" spans="3:9">
      <c r="C215" s="860"/>
      <c r="D215" s="860"/>
      <c r="E215" s="860"/>
      <c r="F215" s="860"/>
      <c r="G215" s="860"/>
      <c r="H215" s="860"/>
      <c r="I215" s="866"/>
    </row>
    <row r="216" spans="3:9">
      <c r="C216" s="860"/>
      <c r="D216" s="860"/>
      <c r="E216" s="860"/>
      <c r="F216" s="860"/>
      <c r="G216" s="860"/>
      <c r="H216" s="860"/>
      <c r="I216" s="866"/>
    </row>
    <row r="217" spans="3:9">
      <c r="C217" s="860"/>
      <c r="D217" s="860"/>
      <c r="E217" s="860"/>
      <c r="F217" s="860"/>
      <c r="G217" s="860"/>
      <c r="H217" s="860"/>
      <c r="I217" s="866"/>
    </row>
    <row r="218" spans="3:9">
      <c r="C218" s="860"/>
      <c r="D218" s="860"/>
      <c r="E218" s="860"/>
      <c r="F218" s="860"/>
      <c r="G218" s="860"/>
      <c r="H218" s="860"/>
      <c r="I218" s="866"/>
    </row>
    <row r="219" spans="3:9">
      <c r="C219" s="860"/>
      <c r="D219" s="860"/>
      <c r="E219" s="860"/>
      <c r="F219" s="860"/>
      <c r="G219" s="860"/>
      <c r="H219" s="860"/>
      <c r="I219" s="866"/>
    </row>
    <row r="220" spans="3:9">
      <c r="C220" s="860"/>
      <c r="D220" s="860"/>
      <c r="E220" s="860"/>
      <c r="F220" s="860"/>
      <c r="G220" s="860"/>
      <c r="H220" s="860"/>
      <c r="I220" s="866"/>
    </row>
    <row r="221" spans="3:9">
      <c r="C221" s="860"/>
      <c r="D221" s="860"/>
      <c r="E221" s="860"/>
      <c r="F221" s="860"/>
      <c r="G221" s="860"/>
      <c r="H221" s="860"/>
      <c r="I221" s="866"/>
    </row>
    <row r="222" spans="3:9">
      <c r="C222" s="860"/>
      <c r="D222" s="860"/>
      <c r="E222" s="860"/>
      <c r="F222" s="860"/>
      <c r="G222" s="860"/>
      <c r="H222" s="860"/>
      <c r="I222" s="866"/>
    </row>
    <row r="223" spans="3:9">
      <c r="C223" s="860"/>
      <c r="D223" s="860"/>
      <c r="E223" s="860"/>
      <c r="F223" s="860"/>
      <c r="G223" s="860"/>
      <c r="H223" s="860"/>
      <c r="I223" s="866"/>
    </row>
    <row r="224" spans="3:9">
      <c r="C224" s="860"/>
      <c r="D224" s="860"/>
      <c r="E224" s="860"/>
      <c r="F224" s="860"/>
      <c r="G224" s="860"/>
      <c r="H224" s="860"/>
      <c r="I224" s="866"/>
    </row>
    <row r="225" spans="3:9">
      <c r="C225" s="860"/>
      <c r="D225" s="860"/>
      <c r="E225" s="860"/>
      <c r="F225" s="860"/>
      <c r="G225" s="860"/>
      <c r="H225" s="860"/>
      <c r="I225" s="866"/>
    </row>
    <row r="226" spans="3:9">
      <c r="C226" s="860"/>
      <c r="D226" s="860"/>
      <c r="E226" s="860"/>
      <c r="F226" s="860"/>
      <c r="G226" s="860"/>
      <c r="H226" s="860"/>
      <c r="I226" s="866"/>
    </row>
    <row r="227" spans="3:9">
      <c r="C227" s="860"/>
      <c r="D227" s="860"/>
      <c r="E227" s="860"/>
      <c r="F227" s="860"/>
      <c r="G227" s="860"/>
      <c r="H227" s="860"/>
      <c r="I227" s="866"/>
    </row>
    <row r="228" spans="3:9">
      <c r="C228" s="860"/>
      <c r="D228" s="860"/>
      <c r="E228" s="860"/>
      <c r="F228" s="860"/>
      <c r="G228" s="860"/>
      <c r="H228" s="860"/>
      <c r="I228" s="866"/>
    </row>
    <row r="229" spans="3:9">
      <c r="C229" s="860"/>
      <c r="D229" s="860"/>
      <c r="E229" s="860"/>
      <c r="F229" s="860"/>
      <c r="G229" s="860"/>
      <c r="H229" s="860"/>
      <c r="I229" s="866"/>
    </row>
    <row r="230" spans="3:9">
      <c r="C230" s="860"/>
      <c r="D230" s="860"/>
      <c r="E230" s="860"/>
      <c r="F230" s="860"/>
      <c r="G230" s="860"/>
      <c r="H230" s="860"/>
      <c r="I230" s="866"/>
    </row>
    <row r="231" spans="3:9">
      <c r="C231" s="860"/>
      <c r="D231" s="860"/>
      <c r="E231" s="860"/>
      <c r="F231" s="860"/>
      <c r="G231" s="860"/>
      <c r="H231" s="860"/>
      <c r="I231" s="866"/>
    </row>
    <row r="232" spans="3:9">
      <c r="C232" s="860"/>
      <c r="D232" s="860"/>
      <c r="E232" s="860"/>
      <c r="F232" s="860"/>
      <c r="G232" s="860"/>
      <c r="H232" s="860"/>
      <c r="I232" s="866"/>
    </row>
    <row r="233" spans="3:9">
      <c r="C233" s="860"/>
      <c r="D233" s="860"/>
      <c r="E233" s="860"/>
      <c r="F233" s="860"/>
      <c r="G233" s="860"/>
      <c r="H233" s="860"/>
      <c r="I233" s="866"/>
    </row>
    <row r="234" spans="3:9">
      <c r="C234" s="860"/>
      <c r="D234" s="860"/>
      <c r="E234" s="860"/>
      <c r="F234" s="860"/>
      <c r="G234" s="860"/>
      <c r="H234" s="860"/>
      <c r="I234" s="866"/>
    </row>
    <row r="235" spans="3:9">
      <c r="C235" s="860"/>
      <c r="D235" s="860"/>
      <c r="E235" s="860"/>
      <c r="F235" s="860"/>
      <c r="G235" s="860"/>
      <c r="H235" s="860"/>
      <c r="I235" s="866"/>
    </row>
    <row r="236" spans="3:9">
      <c r="C236" s="860"/>
      <c r="D236" s="860"/>
      <c r="E236" s="860"/>
      <c r="F236" s="860"/>
      <c r="G236" s="860"/>
      <c r="H236" s="860"/>
      <c r="I236" s="866"/>
    </row>
    <row r="237" spans="3:9">
      <c r="C237" s="860"/>
      <c r="D237" s="860"/>
      <c r="E237" s="860"/>
      <c r="F237" s="860"/>
      <c r="G237" s="860"/>
      <c r="H237" s="860"/>
      <c r="I237" s="866"/>
    </row>
    <row r="238" spans="3:9">
      <c r="C238" s="860"/>
      <c r="D238" s="860"/>
      <c r="E238" s="860"/>
      <c r="F238" s="860"/>
      <c r="G238" s="860"/>
      <c r="H238" s="860"/>
      <c r="I238" s="866"/>
    </row>
    <row r="239" spans="3:9">
      <c r="C239" s="860"/>
      <c r="D239" s="860"/>
      <c r="E239" s="860"/>
      <c r="F239" s="860"/>
      <c r="G239" s="860"/>
      <c r="H239" s="860"/>
      <c r="I239" s="866"/>
    </row>
    <row r="240" spans="3:9">
      <c r="C240" s="860"/>
      <c r="D240" s="860"/>
      <c r="E240" s="860"/>
      <c r="F240" s="860"/>
      <c r="G240" s="860"/>
      <c r="H240" s="860"/>
      <c r="I240" s="866"/>
    </row>
    <row r="241" spans="3:9">
      <c r="C241" s="860"/>
      <c r="D241" s="860"/>
      <c r="E241" s="860"/>
      <c r="F241" s="860"/>
      <c r="G241" s="860"/>
      <c r="H241" s="860"/>
      <c r="I241" s="866"/>
    </row>
    <row r="242" spans="3:9">
      <c r="C242" s="860"/>
      <c r="D242" s="860"/>
      <c r="E242" s="860"/>
      <c r="F242" s="860"/>
      <c r="G242" s="860"/>
      <c r="H242" s="860"/>
      <c r="I242" s="866"/>
    </row>
    <row r="243" spans="3:9">
      <c r="C243" s="860"/>
      <c r="D243" s="860"/>
      <c r="E243" s="860"/>
      <c r="F243" s="860"/>
      <c r="G243" s="860"/>
      <c r="H243" s="860"/>
      <c r="I243" s="866"/>
    </row>
    <row r="244" spans="3:9">
      <c r="C244" s="860"/>
      <c r="D244" s="860"/>
      <c r="E244" s="860"/>
      <c r="F244" s="860"/>
      <c r="G244" s="860"/>
      <c r="H244" s="860"/>
      <c r="I244" s="866"/>
    </row>
    <row r="245" spans="3:9">
      <c r="C245" s="860"/>
      <c r="D245" s="860"/>
      <c r="E245" s="860"/>
      <c r="F245" s="860"/>
      <c r="G245" s="860"/>
      <c r="H245" s="860"/>
      <c r="I245" s="866"/>
    </row>
    <row r="246" spans="3:9">
      <c r="C246" s="860"/>
      <c r="D246" s="860"/>
      <c r="E246" s="860"/>
      <c r="F246" s="860"/>
      <c r="G246" s="860"/>
      <c r="H246" s="860"/>
      <c r="I246" s="866"/>
    </row>
    <row r="247" spans="3:9">
      <c r="C247" s="860"/>
      <c r="D247" s="860"/>
      <c r="E247" s="860"/>
      <c r="F247" s="860"/>
      <c r="G247" s="860"/>
      <c r="H247" s="860"/>
      <c r="I247" s="866"/>
    </row>
    <row r="248" spans="3:9">
      <c r="C248" s="860"/>
      <c r="D248" s="860"/>
      <c r="E248" s="860"/>
      <c r="F248" s="860"/>
      <c r="G248" s="860"/>
      <c r="H248" s="860"/>
      <c r="I248" s="866"/>
    </row>
    <row r="249" spans="3:9">
      <c r="C249" s="860"/>
      <c r="D249" s="860"/>
      <c r="E249" s="860"/>
      <c r="F249" s="860"/>
      <c r="G249" s="860"/>
      <c r="H249" s="860"/>
      <c r="I249" s="866"/>
    </row>
    <row r="250" spans="3:9">
      <c r="C250" s="860"/>
      <c r="D250" s="860"/>
      <c r="E250" s="860"/>
      <c r="F250" s="860"/>
      <c r="G250" s="860"/>
      <c r="H250" s="860"/>
      <c r="I250" s="866"/>
    </row>
    <row r="251" spans="3:9">
      <c r="C251" s="860"/>
      <c r="D251" s="860"/>
      <c r="E251" s="860"/>
      <c r="F251" s="860"/>
      <c r="G251" s="860"/>
      <c r="H251" s="860"/>
      <c r="I251" s="866"/>
    </row>
    <row r="252" spans="3:9">
      <c r="C252" s="860"/>
      <c r="D252" s="860"/>
      <c r="E252" s="860"/>
      <c r="F252" s="860"/>
      <c r="G252" s="860"/>
      <c r="H252" s="860"/>
      <c r="I252" s="866"/>
    </row>
    <row r="253" spans="3:9">
      <c r="C253" s="860"/>
      <c r="D253" s="860"/>
      <c r="E253" s="860"/>
      <c r="F253" s="860"/>
      <c r="G253" s="860"/>
      <c r="H253" s="860"/>
      <c r="I253" s="866"/>
    </row>
    <row r="254" spans="3:9">
      <c r="C254" s="860"/>
      <c r="D254" s="860"/>
      <c r="E254" s="860"/>
      <c r="F254" s="860"/>
      <c r="G254" s="860"/>
      <c r="H254" s="860"/>
      <c r="I254" s="866"/>
    </row>
    <row r="255" spans="3:9">
      <c r="C255" s="860"/>
      <c r="D255" s="860"/>
      <c r="E255" s="860"/>
      <c r="F255" s="860"/>
      <c r="G255" s="860"/>
      <c r="H255" s="860"/>
      <c r="I255" s="866"/>
    </row>
    <row r="256" spans="3:9">
      <c r="C256" s="860"/>
      <c r="D256" s="860"/>
      <c r="E256" s="860"/>
      <c r="F256" s="860"/>
      <c r="G256" s="860"/>
      <c r="H256" s="860"/>
      <c r="I256" s="866"/>
    </row>
    <row r="257" spans="3:9">
      <c r="C257" s="860"/>
      <c r="D257" s="860"/>
      <c r="E257" s="860"/>
      <c r="F257" s="860"/>
      <c r="G257" s="860"/>
      <c r="H257" s="860"/>
      <c r="I257" s="866"/>
    </row>
    <row r="258" spans="3:9">
      <c r="C258" s="860"/>
      <c r="D258" s="860"/>
      <c r="E258" s="860"/>
      <c r="F258" s="860"/>
      <c r="G258" s="860"/>
      <c r="H258" s="860"/>
      <c r="I258" s="866"/>
    </row>
    <row r="259" spans="3:9">
      <c r="C259" s="860"/>
      <c r="D259" s="860"/>
      <c r="E259" s="860"/>
      <c r="F259" s="860"/>
      <c r="G259" s="860"/>
      <c r="H259" s="860"/>
      <c r="I259" s="866"/>
    </row>
    <row r="260" spans="3:9">
      <c r="C260" s="860"/>
      <c r="D260" s="860"/>
      <c r="E260" s="860"/>
      <c r="F260" s="860"/>
      <c r="G260" s="860"/>
      <c r="H260" s="860"/>
      <c r="I260" s="866"/>
    </row>
    <row r="261" spans="3:9">
      <c r="C261" s="860"/>
      <c r="D261" s="860"/>
      <c r="E261" s="860"/>
      <c r="F261" s="860"/>
      <c r="G261" s="860"/>
      <c r="H261" s="860"/>
      <c r="I261" s="866"/>
    </row>
    <row r="262" spans="3:9">
      <c r="C262" s="860"/>
      <c r="D262" s="860"/>
      <c r="E262" s="860"/>
      <c r="F262" s="860"/>
      <c r="G262" s="860"/>
      <c r="H262" s="860"/>
      <c r="I262" s="866"/>
    </row>
    <row r="263" spans="3:9">
      <c r="C263" s="860"/>
      <c r="D263" s="860"/>
      <c r="E263" s="860"/>
      <c r="F263" s="860"/>
      <c r="G263" s="860"/>
      <c r="H263" s="860"/>
      <c r="I263" s="866"/>
    </row>
    <row r="264" spans="3:9">
      <c r="C264" s="860"/>
      <c r="D264" s="860"/>
      <c r="E264" s="860"/>
      <c r="F264" s="860"/>
      <c r="G264" s="860"/>
      <c r="H264" s="860"/>
      <c r="I264" s="866"/>
    </row>
    <row r="265" spans="3:9">
      <c r="C265" s="860"/>
      <c r="D265" s="860"/>
      <c r="E265" s="860"/>
      <c r="F265" s="860"/>
      <c r="G265" s="860"/>
      <c r="H265" s="860"/>
      <c r="I265" s="866"/>
    </row>
    <row r="266" spans="3:9">
      <c r="C266" s="860"/>
      <c r="D266" s="860"/>
      <c r="E266" s="860"/>
      <c r="F266" s="860"/>
      <c r="G266" s="860"/>
      <c r="H266" s="860"/>
      <c r="I266" s="866"/>
    </row>
    <row r="267" spans="3:9">
      <c r="C267" s="860"/>
      <c r="D267" s="860"/>
      <c r="E267" s="860"/>
      <c r="F267" s="860"/>
      <c r="G267" s="860"/>
      <c r="H267" s="860"/>
      <c r="I267" s="866"/>
    </row>
    <row r="268" spans="3:9">
      <c r="C268" s="860"/>
      <c r="D268" s="860"/>
      <c r="E268" s="860"/>
      <c r="F268" s="860"/>
      <c r="G268" s="860"/>
      <c r="H268" s="860"/>
      <c r="I268" s="866"/>
    </row>
    <row r="269" spans="3:9">
      <c r="C269" s="860"/>
      <c r="D269" s="860"/>
      <c r="E269" s="860"/>
      <c r="F269" s="860"/>
      <c r="G269" s="860"/>
      <c r="H269" s="860"/>
      <c r="I269" s="866"/>
    </row>
    <row r="270" spans="3:9">
      <c r="C270" s="860"/>
      <c r="D270" s="860"/>
      <c r="E270" s="860"/>
      <c r="F270" s="860"/>
      <c r="G270" s="860"/>
      <c r="H270" s="860"/>
      <c r="I270" s="866"/>
    </row>
    <row r="271" spans="3:9">
      <c r="C271" s="860"/>
      <c r="D271" s="860"/>
      <c r="E271" s="860"/>
      <c r="F271" s="860"/>
      <c r="G271" s="860"/>
      <c r="H271" s="860"/>
      <c r="I271" s="866"/>
    </row>
    <row r="272" spans="3:9">
      <c r="C272" s="860"/>
      <c r="D272" s="860"/>
      <c r="E272" s="860"/>
      <c r="F272" s="860"/>
      <c r="G272" s="860"/>
      <c r="H272" s="860"/>
      <c r="I272" s="866"/>
    </row>
    <row r="273" spans="3:9">
      <c r="C273" s="860"/>
      <c r="D273" s="860"/>
      <c r="E273" s="860"/>
      <c r="F273" s="860"/>
      <c r="G273" s="860"/>
      <c r="H273" s="860"/>
      <c r="I273" s="866"/>
    </row>
    <row r="274" spans="3:9">
      <c r="C274" s="860"/>
      <c r="D274" s="860"/>
      <c r="E274" s="860"/>
      <c r="F274" s="860"/>
      <c r="G274" s="860"/>
      <c r="H274" s="860"/>
      <c r="I274" s="866"/>
    </row>
    <row r="275" spans="3:9">
      <c r="C275" s="860"/>
      <c r="D275" s="860"/>
      <c r="E275" s="860"/>
      <c r="F275" s="860"/>
      <c r="G275" s="860"/>
      <c r="H275" s="860"/>
      <c r="I275" s="866"/>
    </row>
    <row r="276" spans="3:9">
      <c r="C276" s="860"/>
      <c r="D276" s="860"/>
      <c r="E276" s="860"/>
      <c r="F276" s="860"/>
      <c r="G276" s="860"/>
      <c r="H276" s="860"/>
      <c r="I276" s="866"/>
    </row>
    <row r="277" spans="3:9">
      <c r="C277" s="860"/>
      <c r="D277" s="860"/>
      <c r="E277" s="860"/>
      <c r="F277" s="860"/>
      <c r="G277" s="860"/>
      <c r="H277" s="860"/>
      <c r="I277" s="866"/>
    </row>
    <row r="278" spans="3:9">
      <c r="C278" s="860"/>
      <c r="D278" s="860"/>
      <c r="E278" s="860"/>
      <c r="F278" s="860"/>
      <c r="G278" s="860"/>
      <c r="H278" s="860"/>
      <c r="I278" s="866"/>
    </row>
    <row r="279" spans="3:9">
      <c r="C279" s="860"/>
      <c r="D279" s="860"/>
      <c r="E279" s="860"/>
      <c r="F279" s="860"/>
      <c r="G279" s="860"/>
      <c r="H279" s="860"/>
      <c r="I279" s="866"/>
    </row>
    <row r="280" spans="3:9">
      <c r="C280" s="860"/>
      <c r="D280" s="860"/>
      <c r="E280" s="860"/>
      <c r="F280" s="860"/>
      <c r="G280" s="860"/>
      <c r="H280" s="860"/>
      <c r="I280" s="866"/>
    </row>
    <row r="281" spans="3:9">
      <c r="C281" s="860"/>
      <c r="D281" s="860"/>
      <c r="E281" s="860"/>
      <c r="F281" s="860"/>
      <c r="G281" s="860"/>
      <c r="H281" s="860"/>
      <c r="I281" s="866"/>
    </row>
    <row r="282" spans="3:9">
      <c r="C282" s="860"/>
      <c r="D282" s="860"/>
      <c r="E282" s="860"/>
      <c r="F282" s="860"/>
      <c r="G282" s="860"/>
      <c r="H282" s="860"/>
      <c r="I282" s="866"/>
    </row>
    <row r="283" spans="3:9">
      <c r="C283" s="860"/>
      <c r="D283" s="860"/>
      <c r="E283" s="860"/>
      <c r="F283" s="860"/>
      <c r="G283" s="860"/>
      <c r="H283" s="860"/>
      <c r="I283" s="866"/>
    </row>
    <row r="284" spans="3:9">
      <c r="C284" s="860"/>
      <c r="D284" s="860"/>
      <c r="E284" s="860"/>
      <c r="F284" s="860"/>
      <c r="G284" s="860"/>
      <c r="H284" s="860"/>
      <c r="I284" s="866"/>
    </row>
    <row r="285" spans="3:9">
      <c r="C285" s="860"/>
      <c r="D285" s="860"/>
      <c r="E285" s="860"/>
      <c r="F285" s="860"/>
      <c r="G285" s="860"/>
      <c r="H285" s="860"/>
      <c r="I285" s="866"/>
    </row>
    <row r="286" spans="3:9">
      <c r="C286" s="860"/>
      <c r="D286" s="860"/>
      <c r="E286" s="860"/>
      <c r="F286" s="860"/>
      <c r="G286" s="860"/>
      <c r="H286" s="860"/>
      <c r="I286" s="866"/>
    </row>
    <row r="287" spans="3:9">
      <c r="C287" s="860"/>
      <c r="D287" s="860"/>
      <c r="E287" s="860"/>
      <c r="F287" s="860"/>
      <c r="G287" s="860"/>
      <c r="H287" s="860"/>
      <c r="I287" s="866"/>
    </row>
    <row r="288" spans="3:9">
      <c r="C288" s="860"/>
      <c r="D288" s="860"/>
      <c r="E288" s="860"/>
      <c r="F288" s="860"/>
      <c r="G288" s="860"/>
      <c r="H288" s="860"/>
      <c r="I288" s="866"/>
    </row>
    <row r="289" spans="3:9">
      <c r="C289" s="860"/>
      <c r="D289" s="860"/>
      <c r="E289" s="860"/>
      <c r="F289" s="860"/>
      <c r="G289" s="860"/>
      <c r="H289" s="860"/>
      <c r="I289" s="866"/>
    </row>
    <row r="290" spans="3:9">
      <c r="C290" s="860"/>
      <c r="D290" s="860"/>
      <c r="E290" s="860"/>
      <c r="F290" s="860"/>
      <c r="G290" s="860"/>
      <c r="H290" s="860"/>
      <c r="I290" s="866"/>
    </row>
    <row r="291" spans="3:9">
      <c r="C291" s="860"/>
      <c r="D291" s="860"/>
      <c r="E291" s="860"/>
      <c r="F291" s="860"/>
      <c r="G291" s="860"/>
      <c r="H291" s="860"/>
      <c r="I291" s="866"/>
    </row>
    <row r="292" spans="3:9">
      <c r="C292" s="860"/>
      <c r="D292" s="860"/>
      <c r="E292" s="860"/>
      <c r="F292" s="860"/>
      <c r="G292" s="860"/>
      <c r="H292" s="860"/>
      <c r="I292" s="866"/>
    </row>
    <row r="293" spans="3:9">
      <c r="C293" s="860"/>
      <c r="D293" s="860"/>
      <c r="E293" s="860"/>
      <c r="F293" s="860"/>
      <c r="G293" s="860"/>
      <c r="H293" s="860"/>
      <c r="I293" s="866"/>
    </row>
    <row r="294" spans="3:9">
      <c r="C294" s="860"/>
      <c r="D294" s="860"/>
      <c r="E294" s="860"/>
      <c r="F294" s="860"/>
      <c r="G294" s="860"/>
      <c r="H294" s="860"/>
      <c r="I294" s="866"/>
    </row>
    <row r="295" spans="3:9">
      <c r="C295" s="860"/>
      <c r="D295" s="860"/>
      <c r="E295" s="860"/>
      <c r="F295" s="860"/>
      <c r="G295" s="860"/>
      <c r="H295" s="860"/>
      <c r="I295" s="866"/>
    </row>
    <row r="296" spans="3:9">
      <c r="C296" s="860"/>
      <c r="D296" s="860"/>
      <c r="E296" s="860"/>
      <c r="F296" s="860"/>
      <c r="G296" s="860"/>
      <c r="H296" s="860"/>
      <c r="I296" s="866"/>
    </row>
    <row r="297" spans="3:9">
      <c r="C297" s="860"/>
      <c r="D297" s="860"/>
      <c r="E297" s="860"/>
      <c r="F297" s="860"/>
      <c r="G297" s="860"/>
      <c r="H297" s="860"/>
      <c r="I297" s="866"/>
    </row>
    <row r="298" spans="3:9">
      <c r="C298" s="860"/>
      <c r="D298" s="860"/>
      <c r="E298" s="860"/>
      <c r="F298" s="860"/>
      <c r="G298" s="860"/>
      <c r="H298" s="860"/>
      <c r="I298" s="866"/>
    </row>
    <row r="299" spans="3:9">
      <c r="C299" s="860"/>
      <c r="D299" s="860"/>
      <c r="E299" s="860"/>
      <c r="F299" s="860"/>
      <c r="G299" s="860"/>
      <c r="H299" s="860"/>
      <c r="I299" s="866"/>
    </row>
    <row r="300" spans="3:9">
      <c r="C300" s="860"/>
      <c r="D300" s="860"/>
      <c r="E300" s="860"/>
      <c r="F300" s="860"/>
      <c r="G300" s="860"/>
      <c r="H300" s="860"/>
      <c r="I300" s="866"/>
    </row>
    <row r="301" spans="3:9">
      <c r="C301" s="860"/>
      <c r="D301" s="860"/>
      <c r="E301" s="860"/>
      <c r="F301" s="860"/>
      <c r="G301" s="860"/>
      <c r="H301" s="860"/>
      <c r="I301" s="866"/>
    </row>
    <row r="302" spans="3:9">
      <c r="C302" s="860"/>
      <c r="D302" s="860"/>
      <c r="E302" s="860"/>
      <c r="F302" s="860"/>
      <c r="G302" s="860"/>
      <c r="H302" s="860"/>
      <c r="I302" s="866"/>
    </row>
    <row r="303" spans="3:9">
      <c r="C303" s="860"/>
      <c r="D303" s="860"/>
      <c r="E303" s="860"/>
      <c r="F303" s="860"/>
      <c r="G303" s="860"/>
      <c r="H303" s="860"/>
      <c r="I303" s="866"/>
    </row>
    <row r="304" spans="3:9">
      <c r="C304" s="860"/>
      <c r="D304" s="860"/>
      <c r="E304" s="860"/>
      <c r="F304" s="860"/>
      <c r="G304" s="860"/>
      <c r="H304" s="860"/>
      <c r="I304" s="866"/>
    </row>
    <row r="305" spans="3:9">
      <c r="C305" s="860"/>
      <c r="D305" s="860"/>
      <c r="E305" s="860"/>
      <c r="F305" s="860"/>
      <c r="G305" s="860"/>
      <c r="H305" s="860"/>
      <c r="I305" s="866"/>
    </row>
    <row r="306" spans="3:9">
      <c r="C306" s="860"/>
      <c r="D306" s="860"/>
      <c r="E306" s="860"/>
      <c r="F306" s="860"/>
      <c r="G306" s="860"/>
      <c r="H306" s="860"/>
      <c r="I306" s="866"/>
    </row>
    <row r="307" spans="3:9">
      <c r="C307" s="860"/>
      <c r="D307" s="860"/>
      <c r="E307" s="860"/>
      <c r="F307" s="860"/>
      <c r="G307" s="860"/>
      <c r="H307" s="860"/>
      <c r="I307" s="866"/>
    </row>
    <row r="308" spans="3:9">
      <c r="C308" s="860"/>
      <c r="D308" s="860"/>
      <c r="E308" s="860"/>
      <c r="F308" s="860"/>
      <c r="G308" s="860"/>
      <c r="H308" s="860"/>
      <c r="I308" s="866"/>
    </row>
    <row r="309" spans="3:9">
      <c r="C309" s="860"/>
      <c r="D309" s="860"/>
      <c r="E309" s="860"/>
      <c r="F309" s="860"/>
      <c r="G309" s="860"/>
      <c r="H309" s="860"/>
      <c r="I309" s="866"/>
    </row>
    <row r="310" spans="3:9">
      <c r="C310" s="860"/>
      <c r="D310" s="860"/>
      <c r="E310" s="860"/>
      <c r="F310" s="860"/>
      <c r="G310" s="860"/>
      <c r="H310" s="860"/>
      <c r="I310" s="866"/>
    </row>
    <row r="311" spans="3:9">
      <c r="C311" s="860"/>
      <c r="D311" s="860"/>
      <c r="E311" s="860"/>
      <c r="F311" s="860"/>
      <c r="G311" s="860"/>
      <c r="H311" s="860"/>
      <c r="I311" s="866"/>
    </row>
    <row r="312" spans="3:9">
      <c r="C312" s="860"/>
      <c r="D312" s="860"/>
      <c r="E312" s="860"/>
      <c r="F312" s="860"/>
      <c r="G312" s="860"/>
      <c r="H312" s="860"/>
      <c r="I312" s="866"/>
    </row>
    <row r="313" spans="3:9">
      <c r="C313" s="860"/>
      <c r="D313" s="860"/>
      <c r="E313" s="860"/>
      <c r="F313" s="860"/>
      <c r="G313" s="860"/>
      <c r="H313" s="860"/>
      <c r="I313" s="866"/>
    </row>
    <row r="314" spans="3:9">
      <c r="C314" s="860"/>
      <c r="D314" s="860"/>
      <c r="E314" s="860"/>
      <c r="F314" s="860"/>
      <c r="G314" s="860"/>
      <c r="H314" s="860"/>
      <c r="I314" s="866"/>
    </row>
    <row r="315" spans="3:9">
      <c r="C315" s="860"/>
      <c r="D315" s="860"/>
      <c r="E315" s="860"/>
      <c r="F315" s="860"/>
      <c r="G315" s="860"/>
      <c r="H315" s="860"/>
      <c r="I315" s="866"/>
    </row>
    <row r="316" spans="3:9">
      <c r="C316" s="860"/>
      <c r="D316" s="860"/>
      <c r="E316" s="860"/>
      <c r="F316" s="860"/>
      <c r="G316" s="860"/>
      <c r="H316" s="860"/>
      <c r="I316" s="866"/>
    </row>
    <row r="317" spans="3:9">
      <c r="C317" s="860"/>
      <c r="D317" s="860"/>
      <c r="E317" s="860"/>
      <c r="F317" s="860"/>
      <c r="G317" s="860"/>
      <c r="H317" s="860"/>
      <c r="I317" s="866"/>
    </row>
    <row r="318" spans="3:9">
      <c r="C318" s="860"/>
      <c r="D318" s="860"/>
      <c r="E318" s="860"/>
      <c r="F318" s="860"/>
      <c r="G318" s="860"/>
      <c r="H318" s="860"/>
      <c r="I318" s="866"/>
    </row>
    <row r="319" spans="3:9">
      <c r="C319" s="860"/>
      <c r="D319" s="860"/>
      <c r="E319" s="860"/>
      <c r="F319" s="860"/>
      <c r="G319" s="860"/>
      <c r="H319" s="860"/>
      <c r="I319" s="866"/>
    </row>
    <row r="320" spans="3:9">
      <c r="C320" s="860"/>
      <c r="D320" s="860"/>
      <c r="E320" s="860"/>
      <c r="F320" s="860"/>
      <c r="G320" s="860"/>
      <c r="H320" s="860"/>
      <c r="I320" s="866"/>
    </row>
    <row r="321" spans="3:9">
      <c r="C321" s="860"/>
      <c r="D321" s="860"/>
      <c r="E321" s="860"/>
      <c r="F321" s="860"/>
      <c r="G321" s="860"/>
      <c r="H321" s="860"/>
      <c r="I321" s="866"/>
    </row>
    <row r="322" spans="3:9">
      <c r="C322" s="860"/>
      <c r="D322" s="860"/>
      <c r="E322" s="860"/>
      <c r="F322" s="860"/>
      <c r="G322" s="860"/>
      <c r="H322" s="860"/>
      <c r="I322" s="866"/>
    </row>
    <row r="323" spans="3:9">
      <c r="C323" s="866"/>
      <c r="D323" s="866"/>
      <c r="E323" s="866"/>
      <c r="F323" s="866"/>
      <c r="G323" s="866"/>
      <c r="H323" s="866"/>
      <c r="I323" s="866"/>
    </row>
    <row r="324" spans="3:9">
      <c r="C324" s="866"/>
      <c r="D324" s="866"/>
      <c r="E324" s="866"/>
      <c r="F324" s="866"/>
      <c r="G324" s="866"/>
      <c r="H324" s="866"/>
      <c r="I324" s="866"/>
    </row>
    <row r="325" spans="3:9">
      <c r="C325" s="866"/>
      <c r="D325" s="866"/>
      <c r="E325" s="866"/>
      <c r="F325" s="866"/>
      <c r="G325" s="866"/>
      <c r="H325" s="866"/>
      <c r="I325" s="866"/>
    </row>
    <row r="326" spans="3:9">
      <c r="C326" s="866"/>
      <c r="D326" s="866"/>
      <c r="E326" s="866"/>
      <c r="F326" s="866"/>
      <c r="G326" s="866"/>
      <c r="H326" s="866"/>
      <c r="I326" s="866"/>
    </row>
    <row r="327" spans="3:9">
      <c r="C327" s="866"/>
      <c r="D327" s="866"/>
      <c r="E327" s="866"/>
      <c r="F327" s="866"/>
      <c r="G327" s="866"/>
      <c r="H327" s="866"/>
      <c r="I327" s="866"/>
    </row>
    <row r="328" spans="3:9">
      <c r="C328" s="866"/>
      <c r="D328" s="866"/>
      <c r="E328" s="866"/>
      <c r="F328" s="866"/>
      <c r="G328" s="866"/>
      <c r="H328" s="866"/>
      <c r="I328" s="866"/>
    </row>
    <row r="329" spans="3:9">
      <c r="C329" s="866"/>
      <c r="D329" s="866"/>
      <c r="E329" s="866"/>
      <c r="F329" s="866"/>
      <c r="G329" s="866"/>
      <c r="H329" s="866"/>
      <c r="I329" s="866"/>
    </row>
    <row r="330" spans="3:9">
      <c r="C330" s="866"/>
      <c r="D330" s="866"/>
      <c r="E330" s="866"/>
      <c r="F330" s="866"/>
      <c r="G330" s="866"/>
      <c r="H330" s="866"/>
      <c r="I330" s="866"/>
    </row>
    <row r="331" spans="3:9">
      <c r="C331" s="866"/>
      <c r="D331" s="866"/>
      <c r="E331" s="866"/>
      <c r="F331" s="866"/>
      <c r="G331" s="866"/>
      <c r="H331" s="866"/>
      <c r="I331" s="866"/>
    </row>
    <row r="332" spans="3:9">
      <c r="C332" s="866"/>
      <c r="D332" s="866"/>
      <c r="E332" s="866"/>
      <c r="F332" s="866"/>
      <c r="G332" s="866"/>
      <c r="H332" s="866"/>
      <c r="I332" s="866"/>
    </row>
    <row r="333" spans="3:9">
      <c r="C333" s="866"/>
      <c r="D333" s="866"/>
      <c r="E333" s="866"/>
      <c r="F333" s="866"/>
      <c r="G333" s="866"/>
      <c r="H333" s="866"/>
      <c r="I333" s="866"/>
    </row>
  </sheetData>
  <sortState ref="B64:G70">
    <sortCondition descending="1" ref="C64:C70"/>
  </sortState>
  <mergeCells count="2">
    <mergeCell ref="C51:D51"/>
    <mergeCell ref="C8:E8"/>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AN192"/>
  <sheetViews>
    <sheetView zoomScale="60" zoomScaleNormal="60" workbookViewId="0"/>
  </sheetViews>
  <sheetFormatPr defaultRowHeight="14.4"/>
  <cols>
    <col min="1" max="1" width="8.88671875" style="4"/>
    <col min="2" max="2" width="30.6640625" style="110" customWidth="1"/>
    <col min="3" max="6" width="19" style="110" customWidth="1"/>
    <col min="7" max="7" width="24.77734375" style="110" customWidth="1"/>
    <col min="8" max="24" width="19" style="110" customWidth="1"/>
    <col min="25" max="36" width="8.88671875" style="110"/>
    <col min="37" max="37" width="12.21875" style="110" customWidth="1"/>
    <col min="38" max="16384" width="8.88671875" style="110"/>
  </cols>
  <sheetData>
    <row r="1" spans="1:39" ht="31.2">
      <c r="A1" s="889" t="s">
        <v>242</v>
      </c>
    </row>
    <row r="2" spans="1:39">
      <c r="A2" s="890" t="s">
        <v>262</v>
      </c>
    </row>
    <row r="3" spans="1:39">
      <c r="A3" s="859" t="s">
        <v>56</v>
      </c>
    </row>
    <row r="4" spans="1:39" s="831" customFormat="1" ht="13.8" customHeight="1">
      <c r="A4" s="897" t="s">
        <v>259</v>
      </c>
      <c r="T4" s="14" t="s">
        <v>171</v>
      </c>
    </row>
    <row r="5" spans="1:39" ht="15.6">
      <c r="A5" s="859"/>
      <c r="T5" s="312" t="s">
        <v>157</v>
      </c>
      <c r="AK5" s="111"/>
      <c r="AL5" s="111"/>
      <c r="AM5" s="111"/>
    </row>
    <row r="6" spans="1:39">
      <c r="A6" s="859"/>
      <c r="AK6" s="111"/>
      <c r="AL6" s="318"/>
      <c r="AM6" s="111"/>
    </row>
    <row r="7" spans="1:39">
      <c r="A7" s="110"/>
      <c r="H7" s="3"/>
      <c r="T7" s="110" t="s">
        <v>167</v>
      </c>
      <c r="U7" s="110">
        <v>1.2927180595475551</v>
      </c>
      <c r="AC7" s="111"/>
      <c r="AD7" s="111"/>
      <c r="AE7" s="111"/>
      <c r="AF7" s="111"/>
      <c r="AK7" s="111"/>
      <c r="AL7" s="318"/>
      <c r="AM7" s="111"/>
    </row>
    <row r="8" spans="1:39">
      <c r="A8" s="110"/>
      <c r="F8" s="401"/>
      <c r="H8" s="3"/>
      <c r="T8" s="110" t="s">
        <v>169</v>
      </c>
      <c r="AG8" s="111"/>
      <c r="AH8" s="111"/>
      <c r="AK8" s="111"/>
      <c r="AL8" s="318"/>
      <c r="AM8" s="111"/>
    </row>
    <row r="9" spans="1:39">
      <c r="A9" s="110"/>
      <c r="F9" s="401"/>
      <c r="H9" s="3"/>
      <c r="AC9" s="111"/>
      <c r="AD9" s="111"/>
      <c r="AE9" s="111"/>
      <c r="AF9" s="111"/>
      <c r="AG9" s="111"/>
      <c r="AH9" s="111"/>
      <c r="AK9" s="111"/>
      <c r="AL9" s="318"/>
      <c r="AM9" s="111"/>
    </row>
    <row r="10" spans="1:39">
      <c r="F10" s="401"/>
      <c r="H10" s="3"/>
      <c r="T10" s="24" t="s">
        <v>168</v>
      </c>
      <c r="U10" s="24" t="s">
        <v>178</v>
      </c>
      <c r="V10" s="24" t="s">
        <v>179</v>
      </c>
      <c r="W10" s="24" t="s">
        <v>170</v>
      </c>
      <c r="X10" s="24"/>
      <c r="Y10" s="24" t="s">
        <v>177</v>
      </c>
      <c r="Z10" s="24"/>
      <c r="AA10" s="420" t="s">
        <v>266</v>
      </c>
      <c r="AB10" s="24"/>
      <c r="AC10" s="24"/>
      <c r="AD10" s="420" t="s">
        <v>267</v>
      </c>
      <c r="AE10" s="111"/>
      <c r="AF10" s="111"/>
      <c r="AG10" s="111"/>
      <c r="AH10" s="111"/>
      <c r="AI10" s="318"/>
      <c r="AJ10" s="111"/>
    </row>
    <row r="11" spans="1:39">
      <c r="F11" s="401"/>
      <c r="H11" s="3"/>
      <c r="T11" s="322" t="s">
        <v>7</v>
      </c>
      <c r="U11" s="859">
        <v>1.2679514204878133</v>
      </c>
      <c r="V11" s="859">
        <f t="shared" ref="V11:V24" si="0">ABS(U11-$U$7)/$U$7*100</f>
        <v>1.9158577446044236</v>
      </c>
      <c r="W11" s="859">
        <f t="shared" ref="W11:W24" si="1">V11/2</f>
        <v>0.9579288723022118</v>
      </c>
      <c r="X11" s="859"/>
      <c r="Y11" s="859">
        <v>0.66391199398646128</v>
      </c>
      <c r="Z11" s="859"/>
      <c r="AA11" s="110">
        <f t="shared" ref="AA11:AA24" si="2">$U$7-Y11</f>
        <v>0.62880606556109386</v>
      </c>
      <c r="AC11" s="144"/>
      <c r="AE11" s="144"/>
      <c r="AF11" s="144"/>
      <c r="AG11" s="111"/>
      <c r="AH11" s="111"/>
      <c r="AI11" s="318"/>
      <c r="AJ11" s="111"/>
    </row>
    <row r="12" spans="1:39" ht="34.200000000000003" thickBot="1">
      <c r="B12" s="145" t="s">
        <v>41</v>
      </c>
      <c r="F12" s="401"/>
      <c r="H12" s="3"/>
      <c r="T12" s="322" t="s">
        <v>67</v>
      </c>
      <c r="U12" s="859">
        <v>1.2756878986109192</v>
      </c>
      <c r="V12" s="859">
        <f t="shared" si="0"/>
        <v>1.3173917398969708</v>
      </c>
      <c r="W12" s="859">
        <f t="shared" si="1"/>
        <v>0.65869586994848539</v>
      </c>
      <c r="X12" s="859"/>
      <c r="Y12" s="907">
        <f t="shared" ref="Y12:Y24" si="3">$U$7-AD12</f>
        <v>1.2112547996494563</v>
      </c>
      <c r="Z12" s="859"/>
      <c r="AA12" s="110">
        <f t="shared" si="2"/>
        <v>8.1463259898098883E-2</v>
      </c>
      <c r="AC12" s="111"/>
      <c r="AD12" s="413">
        <v>8.1463259898098994E-2</v>
      </c>
      <c r="AE12" s="111"/>
      <c r="AF12" s="111"/>
      <c r="AG12" s="111"/>
      <c r="AH12" s="111"/>
      <c r="AI12" s="318"/>
      <c r="AJ12" s="111"/>
    </row>
    <row r="13" spans="1:39" ht="15" thickBot="1">
      <c r="B13" s="25" t="s">
        <v>58</v>
      </c>
      <c r="C13" s="38" t="s">
        <v>51</v>
      </c>
      <c r="D13" s="39" t="s">
        <v>60</v>
      </c>
      <c r="H13" s="3"/>
      <c r="S13" s="401"/>
      <c r="T13" s="401" t="s">
        <v>36</v>
      </c>
      <c r="U13" s="859">
        <f t="shared" ref="U13:U24" si="4">$U$7-0.02*AD13</f>
        <v>1.2881435823061758</v>
      </c>
      <c r="V13" s="859">
        <f t="shared" si="0"/>
        <v>0.35386503712808237</v>
      </c>
      <c r="W13" s="859">
        <f t="shared" si="1"/>
        <v>0.17693251856404119</v>
      </c>
      <c r="X13" s="859"/>
      <c r="Y13" s="907">
        <f t="shared" si="3"/>
        <v>1.0639941974785896</v>
      </c>
      <c r="Z13" s="861"/>
      <c r="AA13" s="110">
        <f t="shared" si="2"/>
        <v>0.22872386206896556</v>
      </c>
      <c r="AB13" s="111"/>
      <c r="AD13" s="401">
        <v>0.22872386206896561</v>
      </c>
      <c r="AE13" s="111"/>
      <c r="AF13" s="111"/>
      <c r="AG13" s="111"/>
      <c r="AH13" s="111"/>
      <c r="AI13" s="318"/>
      <c r="AJ13" s="111"/>
      <c r="AK13" s="111"/>
    </row>
    <row r="14" spans="1:39">
      <c r="B14" s="17" t="s">
        <v>46</v>
      </c>
      <c r="C14" s="33">
        <v>14.5</v>
      </c>
      <c r="D14" s="40" t="s">
        <v>1</v>
      </c>
      <c r="E14" s="1"/>
      <c r="F14" s="401"/>
      <c r="H14" s="3"/>
      <c r="S14" s="401"/>
      <c r="T14" s="401" t="s">
        <v>192</v>
      </c>
      <c r="U14" s="110">
        <f>$U$7-0.02*AD14</f>
        <v>1.2886946562199066</v>
      </c>
      <c r="V14" s="110">
        <f t="shared" si="0"/>
        <v>0.31123594955087669</v>
      </c>
      <c r="W14" s="110">
        <f t="shared" si="1"/>
        <v>0.15561797477543834</v>
      </c>
      <c r="Y14" s="110">
        <f t="shared" si="3"/>
        <v>1.0915478931651275</v>
      </c>
      <c r="Z14" s="111"/>
      <c r="AA14" s="110">
        <f t="shared" si="2"/>
        <v>0.20117016638242768</v>
      </c>
      <c r="AB14" s="111"/>
      <c r="AD14" s="401">
        <v>0.20117016638242757</v>
      </c>
      <c r="AE14" s="111"/>
      <c r="AF14" s="111"/>
      <c r="AG14" s="144"/>
      <c r="AH14" s="111"/>
      <c r="AI14" s="318"/>
      <c r="AJ14" s="111"/>
      <c r="AK14" s="111"/>
    </row>
    <row r="15" spans="1:39">
      <c r="B15" s="21" t="s">
        <v>16</v>
      </c>
      <c r="C15" s="4">
        <f>180*1</f>
        <v>180</v>
      </c>
      <c r="D15" s="433" t="s">
        <v>241</v>
      </c>
      <c r="H15" s="3"/>
      <c r="L15" s="6"/>
      <c r="N15" s="1"/>
      <c r="S15" s="401"/>
      <c r="T15" s="401" t="s">
        <v>37</v>
      </c>
      <c r="U15" s="110">
        <f t="shared" si="4"/>
        <v>1.2906423851919953</v>
      </c>
      <c r="V15" s="110">
        <f t="shared" si="0"/>
        <v>0.16056667114918796</v>
      </c>
      <c r="W15" s="110">
        <f t="shared" si="1"/>
        <v>8.0283335574593981E-2</v>
      </c>
      <c r="Y15" s="110">
        <f t="shared" si="3"/>
        <v>1.1889343417695566</v>
      </c>
      <c r="Z15" s="111"/>
      <c r="AA15" s="110">
        <f t="shared" si="2"/>
        <v>0.10378371777799855</v>
      </c>
      <c r="AB15" s="111"/>
      <c r="AD15" s="401">
        <v>0.10378371777799864</v>
      </c>
      <c r="AE15" s="111"/>
      <c r="AF15" s="111"/>
      <c r="AG15" s="111"/>
      <c r="AH15" s="111"/>
      <c r="AI15" s="318"/>
      <c r="AJ15" s="111"/>
      <c r="AK15" s="111"/>
    </row>
    <row r="16" spans="1:39">
      <c r="B16" s="21" t="s">
        <v>50</v>
      </c>
      <c r="C16" s="4">
        <v>0.45</v>
      </c>
      <c r="D16" s="41" t="s">
        <v>31</v>
      </c>
      <c r="F16" s="401"/>
      <c r="H16" s="3"/>
      <c r="L16" s="6"/>
      <c r="S16" s="401"/>
      <c r="T16" s="401" t="s">
        <v>42</v>
      </c>
      <c r="U16" s="110">
        <f t="shared" si="4"/>
        <v>1.2909021036201933</v>
      </c>
      <c r="V16" s="110">
        <f t="shared" si="0"/>
        <v>0.14047579160435106</v>
      </c>
      <c r="W16" s="110">
        <f t="shared" si="1"/>
        <v>7.0237895802175529E-2</v>
      </c>
      <c r="Y16" s="110">
        <f t="shared" si="3"/>
        <v>1.201920263179467</v>
      </c>
      <c r="Z16" s="111"/>
      <c r="AA16" s="110">
        <f t="shared" si="2"/>
        <v>9.0797796368088157E-2</v>
      </c>
      <c r="AB16" s="111"/>
      <c r="AD16" s="401">
        <v>9.0797796368088157E-2</v>
      </c>
      <c r="AE16" s="111"/>
      <c r="AF16" s="111"/>
      <c r="AG16" s="111"/>
      <c r="AH16" s="111"/>
      <c r="AI16" s="318"/>
      <c r="AJ16" s="111"/>
      <c r="AK16" s="111"/>
    </row>
    <row r="17" spans="1:40">
      <c r="B17" s="417" t="s">
        <v>226</v>
      </c>
      <c r="C17" s="4">
        <v>40</v>
      </c>
      <c r="D17" s="41" t="s">
        <v>17</v>
      </c>
      <c r="E17" s="1"/>
      <c r="H17" s="3"/>
      <c r="S17" s="401"/>
      <c r="T17" s="401" t="s">
        <v>15</v>
      </c>
      <c r="U17" s="110">
        <f t="shared" si="4"/>
        <v>1.2913416181682449</v>
      </c>
      <c r="V17" s="110">
        <f t="shared" si="0"/>
        <v>0.10647653362187912</v>
      </c>
      <c r="W17" s="110">
        <f t="shared" si="1"/>
        <v>5.3238266810939558E-2</v>
      </c>
      <c r="Y17" s="110">
        <f t="shared" si="3"/>
        <v>1.2238959905820379</v>
      </c>
      <c r="Z17" s="111"/>
      <c r="AA17" s="110">
        <f t="shared" si="2"/>
        <v>6.8822068965517236E-2</v>
      </c>
      <c r="AB17" s="111"/>
      <c r="AD17" s="401">
        <v>6.882206896551725E-2</v>
      </c>
      <c r="AE17" s="111"/>
      <c r="AF17" s="111"/>
      <c r="AG17" s="111"/>
      <c r="AH17" s="111"/>
      <c r="AI17" s="318"/>
      <c r="AJ17" s="111"/>
      <c r="AK17" s="111"/>
    </row>
    <row r="18" spans="1:40">
      <c r="B18" s="21" t="s">
        <v>22</v>
      </c>
      <c r="C18" s="109">
        <f>15.8*1.325</f>
        <v>20.934999999999999</v>
      </c>
      <c r="D18" s="41" t="s">
        <v>23</v>
      </c>
      <c r="F18" s="401"/>
      <c r="H18" s="3"/>
      <c r="R18" s="131"/>
      <c r="S18" s="401"/>
      <c r="T18" s="401" t="s">
        <v>112</v>
      </c>
      <c r="U18" s="110">
        <f t="shared" si="4"/>
        <v>1.2914357369002332</v>
      </c>
      <c r="V18" s="110">
        <f t="shared" si="0"/>
        <v>9.919584845676116E-2</v>
      </c>
      <c r="W18" s="110">
        <f t="shared" si="1"/>
        <v>4.959792422838058E-2</v>
      </c>
      <c r="Y18" s="110">
        <f t="shared" si="3"/>
        <v>1.2286019271814614</v>
      </c>
      <c r="Z18" s="144"/>
      <c r="AA18" s="110">
        <f t="shared" si="2"/>
        <v>6.4116132366093703E-2</v>
      </c>
      <c r="AB18" s="12"/>
      <c r="AC18" s="131"/>
      <c r="AD18" s="542">
        <v>6.4116132366093634E-2</v>
      </c>
      <c r="AE18" s="111"/>
      <c r="AF18" s="111"/>
      <c r="AG18" s="111"/>
      <c r="AH18" s="111"/>
      <c r="AI18" s="318"/>
      <c r="AJ18" s="111"/>
      <c r="AK18" s="111"/>
    </row>
    <row r="19" spans="1:40" s="131" customFormat="1">
      <c r="A19" s="304"/>
      <c r="B19" s="305" t="s">
        <v>26</v>
      </c>
      <c r="C19" s="306">
        <v>7.0000000000000007E-2</v>
      </c>
      <c r="D19" s="307" t="s">
        <v>27</v>
      </c>
      <c r="E19" s="308"/>
      <c r="F19" s="542"/>
      <c r="H19" s="3"/>
      <c r="R19" s="110"/>
      <c r="S19" s="401"/>
      <c r="T19" s="401" t="s">
        <v>12</v>
      </c>
      <c r="U19" s="110">
        <f t="shared" si="4"/>
        <v>1.2914890940303139</v>
      </c>
      <c r="V19" s="110">
        <f t="shared" si="0"/>
        <v>9.5068333590961659E-2</v>
      </c>
      <c r="W19" s="110">
        <f t="shared" si="1"/>
        <v>4.753416679548083E-2</v>
      </c>
      <c r="X19" s="110"/>
      <c r="Y19" s="110">
        <f t="shared" si="3"/>
        <v>1.2312697836854862</v>
      </c>
      <c r="Z19" s="111"/>
      <c r="AA19" s="110">
        <f t="shared" si="2"/>
        <v>6.1448275862068913E-2</v>
      </c>
      <c r="AB19" s="111"/>
      <c r="AC19" s="110"/>
      <c r="AD19" s="401">
        <v>6.1448275862068968E-2</v>
      </c>
      <c r="AE19" s="111"/>
      <c r="AF19" s="111"/>
      <c r="AG19" s="111"/>
      <c r="AH19" s="111"/>
      <c r="AI19" s="319"/>
      <c r="AJ19" s="144"/>
      <c r="AK19" s="144"/>
    </row>
    <row r="20" spans="1:40" ht="15" thickBot="1">
      <c r="B20" s="23" t="s">
        <v>71</v>
      </c>
      <c r="C20" s="375">
        <v>0</v>
      </c>
      <c r="D20" s="128" t="s">
        <v>72</v>
      </c>
      <c r="E20" s="1"/>
      <c r="G20" s="401"/>
      <c r="H20" s="3"/>
      <c r="S20" s="401"/>
      <c r="T20" s="401" t="s">
        <v>126</v>
      </c>
      <c r="U20" s="110">
        <f t="shared" si="4"/>
        <v>1.2916467694797822</v>
      </c>
      <c r="V20" s="110">
        <f t="shared" si="0"/>
        <v>8.28711303180759E-2</v>
      </c>
      <c r="W20" s="110">
        <f t="shared" si="1"/>
        <v>4.143556515903795E-2</v>
      </c>
      <c r="Y20" s="110">
        <f t="shared" si="3"/>
        <v>1.2391535561589035</v>
      </c>
      <c r="Z20" s="401"/>
      <c r="AA20" s="110">
        <f t="shared" si="2"/>
        <v>5.3564503388651596E-2</v>
      </c>
      <c r="AB20" s="111"/>
      <c r="AD20" s="401">
        <v>5.3564503388651513E-2</v>
      </c>
      <c r="AH20" s="111"/>
      <c r="AI20" s="318"/>
      <c r="AJ20" s="111"/>
      <c r="AK20" s="111"/>
    </row>
    <row r="21" spans="1:40">
      <c r="F21" s="542"/>
      <c r="G21" s="401"/>
      <c r="H21" s="404"/>
      <c r="N21" s="3"/>
      <c r="S21" s="408"/>
      <c r="T21" s="749" t="s">
        <v>11</v>
      </c>
      <c r="U21" s="110">
        <f t="shared" si="4"/>
        <v>1.2916529560992793</v>
      </c>
      <c r="V21" s="110">
        <f t="shared" si="0"/>
        <v>8.2392555778836876E-2</v>
      </c>
      <c r="W21" s="110">
        <f t="shared" si="1"/>
        <v>4.1196277889418438E-2</v>
      </c>
      <c r="Y21" s="110">
        <f t="shared" si="3"/>
        <v>1.2394628871337621</v>
      </c>
      <c r="Z21" s="111"/>
      <c r="AA21" s="110">
        <f t="shared" si="2"/>
        <v>5.3255172413793073E-2</v>
      </c>
      <c r="AB21" s="526"/>
      <c r="AD21" s="401">
        <v>5.3255172413793107E-2</v>
      </c>
      <c r="AE21" s="111"/>
      <c r="AH21" s="111"/>
      <c r="AI21" s="318"/>
      <c r="AJ21" s="111"/>
      <c r="AK21" s="111"/>
    </row>
    <row r="22" spans="1:40">
      <c r="N22" s="3"/>
      <c r="S22" s="401"/>
      <c r="T22" s="401" t="s">
        <v>28</v>
      </c>
      <c r="U22" s="110">
        <f t="shared" si="4"/>
        <v>1.2917065080040997</v>
      </c>
      <c r="V22" s="110">
        <f t="shared" si="0"/>
        <v>7.8249973842671058E-2</v>
      </c>
      <c r="W22" s="110">
        <f t="shared" si="1"/>
        <v>3.9124986921335529E-2</v>
      </c>
      <c r="Y22" s="110">
        <f t="shared" si="3"/>
        <v>1.2421404823747799</v>
      </c>
      <c r="Z22" s="111"/>
      <c r="AA22" s="110">
        <f t="shared" si="2"/>
        <v>5.0577577172775223E-2</v>
      </c>
      <c r="AB22" s="412"/>
      <c r="AD22" s="401">
        <v>5.0577577172775279E-2</v>
      </c>
      <c r="AH22" s="111"/>
      <c r="AJ22" s="111"/>
      <c r="AK22" s="111"/>
    </row>
    <row r="23" spans="1:40" ht="34.200000000000003" thickBot="1">
      <c r="B23" s="145" t="s">
        <v>59</v>
      </c>
      <c r="S23" s="414"/>
      <c r="T23" s="414" t="s">
        <v>13</v>
      </c>
      <c r="U23" s="110">
        <f t="shared" si="4"/>
        <v>1.2919714686384642</v>
      </c>
      <c r="V23" s="110">
        <f t="shared" si="0"/>
        <v>5.7753576162787437E-2</v>
      </c>
      <c r="W23" s="110">
        <f t="shared" si="1"/>
        <v>2.8876788081393719E-2</v>
      </c>
      <c r="Y23" s="110">
        <f t="shared" si="3"/>
        <v>1.2553885140930097</v>
      </c>
      <c r="Z23" s="526"/>
      <c r="AA23" s="110">
        <f t="shared" si="2"/>
        <v>3.7329545454545476E-2</v>
      </c>
      <c r="AB23" s="111"/>
      <c r="AD23" s="401">
        <v>3.7329545454545456E-2</v>
      </c>
      <c r="AH23" s="111"/>
      <c r="AJ23" s="111"/>
      <c r="AK23" s="111"/>
    </row>
    <row r="24" spans="1:40" ht="15" thickBot="1">
      <c r="B24" s="395" t="s">
        <v>80</v>
      </c>
      <c r="C24" s="396">
        <f>C66*1000*C54/C57*(1/(C136*C137*C138))</f>
        <v>6.36464946792311</v>
      </c>
      <c r="D24" s="397" t="s">
        <v>79</v>
      </c>
      <c r="S24" s="401"/>
      <c r="T24" s="401" t="s">
        <v>10</v>
      </c>
      <c r="U24" s="110">
        <f t="shared" si="4"/>
        <v>1.2919806802372102</v>
      </c>
      <c r="V24" s="110">
        <f t="shared" si="0"/>
        <v>5.7041000154587303E-2</v>
      </c>
      <c r="W24" s="110">
        <f t="shared" si="1"/>
        <v>2.8520500077293651E-2</v>
      </c>
      <c r="Y24" s="110">
        <f t="shared" si="3"/>
        <v>1.2558490940303138</v>
      </c>
      <c r="AA24" s="110">
        <f t="shared" si="2"/>
        <v>3.6868965517241392E-2</v>
      </c>
      <c r="AB24" s="111"/>
      <c r="AD24" s="401">
        <v>3.6868965517241378E-2</v>
      </c>
      <c r="AE24" s="111"/>
      <c r="AF24" s="111"/>
      <c r="AG24" s="111"/>
      <c r="AH24" s="111"/>
      <c r="AI24" s="111"/>
      <c r="AJ24" s="111"/>
      <c r="AK24" s="111"/>
    </row>
    <row r="25" spans="1:40" ht="15" thickBot="1">
      <c r="S25" s="409"/>
      <c r="T25" s="409" t="s">
        <v>14</v>
      </c>
      <c r="U25" s="401">
        <f t="shared" ref="U25:U28" si="5">$U$7-0.02*AD25</f>
        <v>1.2920789974785896</v>
      </c>
      <c r="V25" s="401">
        <f t="shared" ref="V25:V28" si="6">ABS(U25-$U$7)/$U$7*100</f>
        <v>4.9435533467308994E-2</v>
      </c>
      <c r="W25" s="401">
        <f t="shared" ref="W25:W28" si="7">V25/2</f>
        <v>2.4717766733654497E-2</v>
      </c>
      <c r="X25" s="401"/>
      <c r="Y25" s="401">
        <f t="shared" ref="Y25:Y28" si="8">$U$7-AD25</f>
        <v>1.2607649560992793</v>
      </c>
      <c r="Z25" s="401"/>
      <c r="AA25" s="401">
        <f t="shared" ref="AA25:AA28" si="9">$U$7-Y25</f>
        <v>3.1953103448275844E-2</v>
      </c>
      <c r="AB25" s="111"/>
      <c r="AC25" s="111"/>
      <c r="AD25" s="401">
        <v>3.1953103448275864E-2</v>
      </c>
      <c r="AE25" s="111"/>
      <c r="AF25" s="111"/>
      <c r="AG25" s="111"/>
      <c r="AH25" s="111"/>
      <c r="AI25" s="111"/>
      <c r="AJ25" s="111"/>
      <c r="AK25" s="111"/>
    </row>
    <row r="26" spans="1:40" ht="29.4" thickBot="1">
      <c r="B26" s="29" t="s">
        <v>55</v>
      </c>
      <c r="J26" s="909" t="s">
        <v>109</v>
      </c>
      <c r="K26" s="910"/>
      <c r="L26" s="910"/>
      <c r="M26" s="911"/>
      <c r="N26" s="909" t="s">
        <v>111</v>
      </c>
      <c r="O26" s="910"/>
      <c r="P26" s="910"/>
      <c r="Q26" s="911"/>
      <c r="S26" s="401"/>
      <c r="T26" s="401" t="s">
        <v>82</v>
      </c>
      <c r="U26" s="401">
        <f t="shared" si="5"/>
        <v>1.292129237923785</v>
      </c>
      <c r="V26" s="401">
        <f t="shared" si="6"/>
        <v>4.5549114087278117E-2</v>
      </c>
      <c r="W26" s="401">
        <f t="shared" si="7"/>
        <v>2.2774557043639058E-2</v>
      </c>
      <c r="X26" s="401"/>
      <c r="Y26" s="401">
        <f t="shared" si="8"/>
        <v>1.2632769783590427</v>
      </c>
      <c r="Z26" s="401"/>
      <c r="AA26" s="401">
        <f t="shared" si="9"/>
        <v>2.9441081188512408E-2</v>
      </c>
      <c r="AB26" s="111"/>
      <c r="AC26" s="111"/>
      <c r="AD26" s="401">
        <v>2.944108118851238E-2</v>
      </c>
      <c r="AE26" s="111"/>
      <c r="AF26" s="111"/>
      <c r="AG26" s="111"/>
      <c r="AH26" s="111"/>
      <c r="AI26" s="111"/>
      <c r="AJ26" s="111"/>
      <c r="AK26" s="111"/>
    </row>
    <row r="27" spans="1:40" ht="15" thickBot="1">
      <c r="A27" s="5"/>
      <c r="B27" s="35" t="s">
        <v>58</v>
      </c>
      <c r="C27" s="31" t="s">
        <v>9</v>
      </c>
      <c r="D27" s="34" t="s">
        <v>39</v>
      </c>
      <c r="E27" s="32" t="s">
        <v>40</v>
      </c>
      <c r="F27" s="32" t="s">
        <v>68</v>
      </c>
      <c r="G27" s="32" t="s">
        <v>65</v>
      </c>
      <c r="H27" s="135" t="s">
        <v>8</v>
      </c>
      <c r="I27" s="31" t="s">
        <v>69</v>
      </c>
      <c r="J27" s="200" t="s">
        <v>43</v>
      </c>
      <c r="K27" s="201" t="s">
        <v>83</v>
      </c>
      <c r="L27" s="201" t="s">
        <v>45</v>
      </c>
      <c r="M27" s="202" t="s">
        <v>75</v>
      </c>
      <c r="N27" s="364" t="s">
        <v>43</v>
      </c>
      <c r="O27" s="201" t="s">
        <v>83</v>
      </c>
      <c r="P27" s="201" t="s">
        <v>45</v>
      </c>
      <c r="Q27" s="202" t="s">
        <v>75</v>
      </c>
      <c r="S27" s="409"/>
      <c r="T27" s="409" t="s">
        <v>77</v>
      </c>
      <c r="U27" s="401">
        <f t="shared" si="5"/>
        <v>1.2924658434465326</v>
      </c>
      <c r="V27" s="401">
        <f t="shared" si="6"/>
        <v>1.951052661172115E-2</v>
      </c>
      <c r="W27" s="401">
        <f t="shared" si="7"/>
        <v>9.7552633058605748E-3</v>
      </c>
      <c r="X27" s="401"/>
      <c r="Y27" s="401">
        <f t="shared" si="8"/>
        <v>1.2801072544964318</v>
      </c>
      <c r="Z27" s="401"/>
      <c r="AA27" s="401">
        <f t="shared" si="9"/>
        <v>1.2610805051123331E-2</v>
      </c>
      <c r="AB27" s="111"/>
      <c r="AC27" s="111"/>
      <c r="AD27" s="401">
        <v>1.2610805051123355E-2</v>
      </c>
      <c r="AE27" s="111"/>
      <c r="AF27" s="111"/>
      <c r="AG27" s="111"/>
      <c r="AH27" s="111"/>
      <c r="AI27" s="111"/>
      <c r="AJ27" s="111"/>
      <c r="AK27" s="111"/>
    </row>
    <row r="28" spans="1:40">
      <c r="A28" s="5"/>
      <c r="B28" s="436" t="s">
        <v>36</v>
      </c>
      <c r="C28" s="773">
        <f>C67</f>
        <v>0.90685670400000018</v>
      </c>
      <c r="D28" s="437"/>
      <c r="E28" s="438"/>
      <c r="F28" s="703">
        <v>1</v>
      </c>
      <c r="G28" s="515">
        <v>1</v>
      </c>
      <c r="H28" s="678">
        <f>C28*$C$54/$C$57*F28*G28</f>
        <v>0.22872386206896561</v>
      </c>
      <c r="I28" s="675">
        <f>H28/$H$48*G28*F28</f>
        <v>0.17693251856403849</v>
      </c>
      <c r="J28" s="610">
        <f>H28</f>
        <v>0.22872386206896561</v>
      </c>
      <c r="K28" s="439"/>
      <c r="L28" s="439"/>
      <c r="M28" s="660"/>
      <c r="N28" s="762"/>
      <c r="O28" s="622"/>
      <c r="P28" s="622"/>
      <c r="Q28" s="623"/>
      <c r="S28" s="409"/>
      <c r="T28" s="409" t="s">
        <v>29</v>
      </c>
      <c r="U28" s="401">
        <f t="shared" si="5"/>
        <v>1.2926559905820378</v>
      </c>
      <c r="V28" s="401">
        <f t="shared" si="6"/>
        <v>4.8014309894477128E-3</v>
      </c>
      <c r="W28" s="401">
        <f t="shared" si="7"/>
        <v>2.4007154947238564E-3</v>
      </c>
      <c r="X28" s="401"/>
      <c r="Y28" s="401">
        <f t="shared" si="8"/>
        <v>1.2896146112716931</v>
      </c>
      <c r="Z28" s="401"/>
      <c r="AA28" s="401">
        <f t="shared" si="9"/>
        <v>3.1034482758620641E-3</v>
      </c>
      <c r="AB28" s="111"/>
      <c r="AC28" s="111"/>
      <c r="AD28" s="401">
        <v>3.1034482758620693E-3</v>
      </c>
      <c r="AE28" s="111"/>
      <c r="AF28" s="111"/>
      <c r="AG28" s="111"/>
      <c r="AH28" s="111"/>
      <c r="AI28" s="111"/>
      <c r="AJ28" s="111"/>
      <c r="AK28" s="111"/>
    </row>
    <row r="29" spans="1:40">
      <c r="A29" s="5"/>
      <c r="B29" s="459" t="s">
        <v>192</v>
      </c>
      <c r="C29" s="460"/>
      <c r="D29" s="638" t="s">
        <v>110</v>
      </c>
      <c r="E29" s="616" t="s">
        <v>110</v>
      </c>
      <c r="F29" s="704">
        <v>1</v>
      </c>
      <c r="G29" s="516">
        <f>C62</f>
        <v>1</v>
      </c>
      <c r="H29" s="679">
        <f>SUM(J29:L29)</f>
        <v>0.18081540573769869</v>
      </c>
      <c r="I29" s="567">
        <f t="shared" ref="I29:I47" si="10">H29/$H$48</f>
        <v>0.13987226712140402</v>
      </c>
      <c r="J29" s="661">
        <f>H77*F29*G29+N29</f>
        <v>8.9908448674886676E-2</v>
      </c>
      <c r="K29" s="461">
        <f>H78*F29*G29+O29</f>
        <v>6.2539231151438265E-2</v>
      </c>
      <c r="L29" s="461">
        <f>H79*F29*G29+P29</f>
        <v>2.8367725911373737E-2</v>
      </c>
      <c r="M29" s="662"/>
      <c r="N29" s="763"/>
      <c r="O29" s="639"/>
      <c r="P29" s="639"/>
      <c r="Q29" s="640"/>
      <c r="AA29" s="111"/>
      <c r="AB29" s="111"/>
      <c r="AC29" s="111"/>
      <c r="AD29" s="111"/>
      <c r="AE29" s="111"/>
      <c r="AF29" s="111"/>
      <c r="AG29" s="111"/>
      <c r="AH29" s="111"/>
      <c r="AI29" s="111"/>
      <c r="AJ29" s="111"/>
      <c r="AK29" s="111"/>
    </row>
    <row r="30" spans="1:40">
      <c r="A30" s="5"/>
      <c r="B30" s="641" t="s">
        <v>126</v>
      </c>
      <c r="C30" s="642"/>
      <c r="D30" s="229" t="s">
        <v>110</v>
      </c>
      <c r="E30" s="211" t="s">
        <v>110</v>
      </c>
      <c r="F30" s="705">
        <v>1</v>
      </c>
      <c r="G30" s="645">
        <f>C62</f>
        <v>1</v>
      </c>
      <c r="H30" s="680">
        <f>SUM(J30:L30)</f>
        <v>5.3564503388651513E-2</v>
      </c>
      <c r="I30" s="676">
        <f t="shared" si="10"/>
        <v>4.1435565159040809E-2</v>
      </c>
      <c r="J30" s="663">
        <f>E85*F30*G30+N30</f>
        <v>2.6612283970982815E-2</v>
      </c>
      <c r="K30" s="643">
        <f>E86*F30*G30+O30</f>
        <v>1.7959059524992552E-2</v>
      </c>
      <c r="L30" s="643">
        <f>E87*F30*G30+P30</f>
        <v>8.9931598926761419E-3</v>
      </c>
      <c r="M30" s="664"/>
      <c r="N30" s="642"/>
      <c r="O30" s="644"/>
      <c r="P30" s="644"/>
      <c r="Q30" s="646"/>
      <c r="AA30" s="111"/>
      <c r="AB30" s="111"/>
      <c r="AC30" s="111"/>
      <c r="AD30" s="111"/>
      <c r="AE30" s="111"/>
      <c r="AF30" s="111"/>
      <c r="AG30" s="111"/>
      <c r="AH30" s="111"/>
      <c r="AI30" s="111"/>
      <c r="AJ30" s="111"/>
      <c r="AK30" s="111"/>
    </row>
    <row r="31" spans="1:40">
      <c r="A31" s="5"/>
      <c r="B31" s="455" t="s">
        <v>37</v>
      </c>
      <c r="C31" s="456"/>
      <c r="D31" s="638" t="s">
        <v>110</v>
      </c>
      <c r="E31" s="616" t="s">
        <v>110</v>
      </c>
      <c r="F31" s="706">
        <v>1</v>
      </c>
      <c r="G31" s="517">
        <f>C62</f>
        <v>1</v>
      </c>
      <c r="H31" s="681">
        <f>(SUM(J31:L31))</f>
        <v>0.1357945082301501</v>
      </c>
      <c r="I31" s="572">
        <f t="shared" si="10"/>
        <v>0.10504572689088718</v>
      </c>
      <c r="J31" s="548">
        <f>C118*F31*G31+N31</f>
        <v>6.8569504155818362E-2</v>
      </c>
      <c r="K31" s="457">
        <f>C119*F31*G31+O31</f>
        <v>3.3612502037165863E-2</v>
      </c>
      <c r="L31" s="457">
        <f>C120*F31*G31+P31</f>
        <v>3.3612502037165863E-2</v>
      </c>
      <c r="M31" s="601"/>
      <c r="N31" s="764"/>
      <c r="O31" s="457"/>
      <c r="P31" s="457"/>
      <c r="Q31" s="601"/>
      <c r="AA31" s="111"/>
      <c r="AB31" s="111"/>
      <c r="AC31" s="111"/>
      <c r="AD31" s="111"/>
      <c r="AE31" s="111"/>
      <c r="AF31" s="111"/>
      <c r="AG31" s="111"/>
      <c r="AH31" s="111"/>
      <c r="AI31" s="111"/>
      <c r="AJ31" s="111"/>
      <c r="AK31" s="111"/>
    </row>
    <row r="32" spans="1:40">
      <c r="A32" s="5"/>
      <c r="B32" s="440" t="s">
        <v>28</v>
      </c>
      <c r="C32" s="454"/>
      <c r="D32" s="229" t="s">
        <v>110</v>
      </c>
      <c r="E32" s="211" t="s">
        <v>110</v>
      </c>
      <c r="F32" s="707">
        <v>1</v>
      </c>
      <c r="G32" s="518">
        <v>1</v>
      </c>
      <c r="H32" s="682">
        <f>(SUM(J32:L32))</f>
        <v>5.1310585537598104E-2</v>
      </c>
      <c r="I32" s="571">
        <f t="shared" si="10"/>
        <v>3.9692015717299217E-2</v>
      </c>
      <c r="J32" s="591">
        <f>C130*F32*G32+N32</f>
        <v>2.4198861399667065E-2</v>
      </c>
      <c r="K32" s="442">
        <f>C131*F32*G32+O32</f>
        <v>2.3635862068965521E-2</v>
      </c>
      <c r="L32" s="442">
        <f>C132*F32*G32+P32</f>
        <v>3.4758620689655179E-3</v>
      </c>
      <c r="M32" s="592"/>
      <c r="N32" s="570"/>
      <c r="O32" s="442"/>
      <c r="P32" s="442"/>
      <c r="Q32" s="592"/>
      <c r="AA32" s="111"/>
      <c r="AB32" s="111"/>
      <c r="AC32" s="111"/>
      <c r="AD32" s="111"/>
      <c r="AE32" s="111"/>
      <c r="AF32" s="111"/>
      <c r="AG32" s="111"/>
      <c r="AH32" s="111"/>
      <c r="AI32" s="111"/>
      <c r="AJ32" s="111"/>
      <c r="AK32" s="111"/>
      <c r="AL32" s="111"/>
      <c r="AM32" s="111"/>
      <c r="AN32" s="111"/>
    </row>
    <row r="33" spans="1:40">
      <c r="A33" s="5"/>
      <c r="B33" s="733" t="s">
        <v>42</v>
      </c>
      <c r="C33" s="734">
        <f>C162</f>
        <v>0.43935671911765173</v>
      </c>
      <c r="D33" s="735"/>
      <c r="E33" s="736"/>
      <c r="F33" s="737">
        <v>1</v>
      </c>
      <c r="G33" s="738">
        <f>C62</f>
        <v>1</v>
      </c>
      <c r="H33" s="739">
        <f>C33*$C$54/$C$57*F33*G33</f>
        <v>0.11081283865387735</v>
      </c>
      <c r="I33" s="740">
        <f t="shared" si="10"/>
        <v>8.5720809603805875E-2</v>
      </c>
      <c r="J33" s="741"/>
      <c r="K33" s="742">
        <f>H33</f>
        <v>0.11081283865387735</v>
      </c>
      <c r="L33" s="742"/>
      <c r="M33" s="743"/>
      <c r="N33" s="357"/>
      <c r="O33" s="616"/>
      <c r="P33" s="617"/>
      <c r="Q33" s="618"/>
      <c r="AA33" s="111"/>
      <c r="AB33" s="111"/>
      <c r="AC33" s="111"/>
      <c r="AD33" s="111"/>
      <c r="AE33" s="111"/>
      <c r="AF33" s="111"/>
      <c r="AG33" s="111"/>
      <c r="AH33" s="111"/>
      <c r="AI33" s="111"/>
      <c r="AJ33" s="111"/>
      <c r="AK33" s="111"/>
      <c r="AL33" s="111"/>
      <c r="AM33" s="111"/>
      <c r="AN33" s="111"/>
    </row>
    <row r="34" spans="1:40">
      <c r="A34" s="5"/>
      <c r="B34" s="625" t="s">
        <v>82</v>
      </c>
      <c r="C34" s="573"/>
      <c r="D34" s="626"/>
      <c r="E34" s="576"/>
      <c r="F34" s="709">
        <v>1</v>
      </c>
      <c r="G34" s="627">
        <f>C62</f>
        <v>1</v>
      </c>
      <c r="H34" s="684">
        <f>(C98)*F34*G34</f>
        <v>2.944108118851238E-2</v>
      </c>
      <c r="I34" s="575">
        <f t="shared" si="10"/>
        <v>2.2774557043642302E-2</v>
      </c>
      <c r="J34" s="666">
        <f>H34</f>
        <v>2.944108118851238E-2</v>
      </c>
      <c r="K34" s="628"/>
      <c r="L34" s="628"/>
      <c r="M34" s="667"/>
      <c r="N34" s="753"/>
      <c r="O34" s="212"/>
      <c r="P34" s="212"/>
      <c r="Q34" s="213"/>
      <c r="AA34" s="111"/>
      <c r="AB34" s="111"/>
      <c r="AC34" s="111"/>
      <c r="AD34" s="111"/>
      <c r="AE34" s="111"/>
      <c r="AF34" s="111"/>
      <c r="AG34" s="111"/>
      <c r="AH34" s="111"/>
      <c r="AI34" s="111"/>
      <c r="AJ34" s="111"/>
      <c r="AK34" s="111"/>
      <c r="AL34" s="111"/>
      <c r="AM34" s="111"/>
      <c r="AN34" s="111"/>
    </row>
    <row r="35" spans="1:40">
      <c r="A35" s="5"/>
      <c r="B35" s="443" t="s">
        <v>112</v>
      </c>
      <c r="C35" s="444"/>
      <c r="D35" s="445"/>
      <c r="E35" s="446"/>
      <c r="F35" s="447">
        <v>1</v>
      </c>
      <c r="G35" s="520">
        <f>C62</f>
        <v>1</v>
      </c>
      <c r="H35" s="685">
        <f>(C93)*F35*G35</f>
        <v>6.4116132366093634E-2</v>
      </c>
      <c r="I35" s="677">
        <f t="shared" si="10"/>
        <v>4.9597924228376569E-2</v>
      </c>
      <c r="J35" s="602">
        <f>H35</f>
        <v>6.4116132366093634E-2</v>
      </c>
      <c r="K35" s="448"/>
      <c r="L35" s="448"/>
      <c r="M35" s="668"/>
      <c r="N35" s="765"/>
      <c r="O35" s="617"/>
      <c r="P35" s="212"/>
      <c r="Q35" s="213"/>
      <c r="AA35" s="111"/>
      <c r="AB35" s="111"/>
      <c r="AC35" s="111"/>
      <c r="AD35" s="111"/>
      <c r="AE35" s="111"/>
      <c r="AF35" s="111"/>
      <c r="AG35" s="111"/>
      <c r="AH35" s="111"/>
      <c r="AI35" s="111"/>
      <c r="AJ35" s="111"/>
      <c r="AK35" s="111"/>
      <c r="AL35" s="111"/>
      <c r="AM35" s="111"/>
      <c r="AN35" s="111"/>
    </row>
    <row r="36" spans="1:40">
      <c r="A36" s="5"/>
      <c r="B36" s="91" t="s">
        <v>15</v>
      </c>
      <c r="C36" s="92"/>
      <c r="D36" s="93"/>
      <c r="E36" s="94"/>
      <c r="F36" s="298">
        <v>1</v>
      </c>
      <c r="G36" s="105">
        <f>C62</f>
        <v>1</v>
      </c>
      <c r="H36" s="273">
        <f>E171*F36*G36</f>
        <v>7.3275862068965525E-2</v>
      </c>
      <c r="I36" s="149">
        <f t="shared" si="10"/>
        <v>5.6683560292034377E-2</v>
      </c>
      <c r="J36" s="255"/>
      <c r="K36" s="95"/>
      <c r="L36" s="95">
        <f>H36</f>
        <v>7.3275862068965525E-2</v>
      </c>
      <c r="M36" s="198"/>
      <c r="N36" s="357"/>
      <c r="O36" s="212"/>
      <c r="P36" s="211"/>
      <c r="Q36" s="214"/>
      <c r="AA36" s="111"/>
      <c r="AB36" s="111"/>
      <c r="AC36" s="111"/>
      <c r="AD36" s="111"/>
      <c r="AE36" s="111"/>
      <c r="AF36" s="111"/>
      <c r="AG36" s="111"/>
      <c r="AH36" s="111"/>
      <c r="AI36" s="111"/>
      <c r="AJ36" s="111"/>
      <c r="AK36" s="111"/>
      <c r="AL36" s="111"/>
      <c r="AM36" s="111"/>
      <c r="AN36" s="111"/>
    </row>
    <row r="37" spans="1:40">
      <c r="A37" s="5"/>
      <c r="B37" s="91" t="s">
        <v>12</v>
      </c>
      <c r="C37" s="92"/>
      <c r="D37" s="93"/>
      <c r="E37" s="94"/>
      <c r="F37" s="298">
        <v>1</v>
      </c>
      <c r="G37" s="105">
        <f>C62</f>
        <v>1</v>
      </c>
      <c r="H37" s="273">
        <f>E168*F37*G37</f>
        <v>5.9997421887852433E-2</v>
      </c>
      <c r="I37" s="149">
        <f t="shared" si="10"/>
        <v>4.6411838563507987E-2</v>
      </c>
      <c r="J37" s="255"/>
      <c r="K37" s="95"/>
      <c r="L37" s="95">
        <f>H37</f>
        <v>5.9997421887852433E-2</v>
      </c>
      <c r="M37" s="198"/>
      <c r="N37" s="357"/>
      <c r="O37" s="617"/>
      <c r="P37" s="616"/>
      <c r="Q37" s="619"/>
      <c r="AA37" s="111"/>
      <c r="AB37" s="111"/>
      <c r="AC37" s="111"/>
      <c r="AD37" s="111"/>
      <c r="AE37" s="111"/>
      <c r="AF37" s="111"/>
      <c r="AG37" s="111"/>
      <c r="AH37" s="111"/>
      <c r="AI37" s="111"/>
      <c r="AJ37" s="111"/>
      <c r="AK37" s="111"/>
      <c r="AL37" s="111"/>
      <c r="AM37" s="111"/>
      <c r="AN37" s="111"/>
    </row>
    <row r="38" spans="1:40">
      <c r="A38" s="5"/>
      <c r="B38" s="91" t="s">
        <v>10</v>
      </c>
      <c r="C38" s="92"/>
      <c r="D38" s="93"/>
      <c r="E38" s="94"/>
      <c r="F38" s="298">
        <v>1</v>
      </c>
      <c r="G38" s="105">
        <f>C62</f>
        <v>1</v>
      </c>
      <c r="H38" s="273">
        <f>E170*F38*G38</f>
        <v>3.8793103448275863E-2</v>
      </c>
      <c r="I38" s="149">
        <f t="shared" si="10"/>
        <v>3.0008943684018196E-2</v>
      </c>
      <c r="J38" s="255"/>
      <c r="K38" s="95"/>
      <c r="L38" s="95">
        <f>H38</f>
        <v>3.8793103448275863E-2</v>
      </c>
      <c r="M38" s="198"/>
      <c r="N38" s="357"/>
      <c r="O38" s="212"/>
      <c r="P38" s="211"/>
      <c r="Q38" s="214"/>
      <c r="AA38" s="111"/>
      <c r="AB38" s="111"/>
      <c r="AC38" s="111"/>
      <c r="AD38" s="111"/>
      <c r="AE38" s="111"/>
      <c r="AF38" s="111"/>
      <c r="AG38" s="111"/>
      <c r="AH38" s="111"/>
      <c r="AI38" s="111"/>
      <c r="AJ38" s="111"/>
      <c r="AK38" s="111"/>
      <c r="AL38" s="111"/>
      <c r="AM38" s="111"/>
      <c r="AN38" s="111"/>
    </row>
    <row r="39" spans="1:40">
      <c r="A39" s="5"/>
      <c r="B39" s="504" t="s">
        <v>13</v>
      </c>
      <c r="C39" s="505"/>
      <c r="D39" s="506"/>
      <c r="E39" s="507"/>
      <c r="F39" s="708">
        <v>1</v>
      </c>
      <c r="G39" s="519">
        <f>C62</f>
        <v>1</v>
      </c>
      <c r="H39" s="683">
        <f>E172*F39*G39</f>
        <v>0.04</v>
      </c>
      <c r="I39" s="554">
        <f t="shared" si="10"/>
        <v>3.0942555265298762E-2</v>
      </c>
      <c r="J39" s="665"/>
      <c r="K39" s="508"/>
      <c r="L39" s="757">
        <f>H39</f>
        <v>0.04</v>
      </c>
      <c r="M39" s="603"/>
      <c r="N39" s="753"/>
      <c r="O39" s="617"/>
      <c r="P39" s="616"/>
      <c r="Q39" s="619"/>
      <c r="R39" s="16"/>
      <c r="U39" s="111"/>
      <c r="AA39" s="111"/>
      <c r="AB39" s="111"/>
      <c r="AC39" s="111"/>
      <c r="AD39" s="111"/>
      <c r="AE39" s="111"/>
      <c r="AF39" s="111"/>
      <c r="AG39" s="111"/>
      <c r="AH39" s="111"/>
      <c r="AI39" s="111"/>
      <c r="AJ39" s="111"/>
      <c r="AK39" s="111"/>
      <c r="AL39" s="111"/>
      <c r="AM39" s="111"/>
      <c r="AN39" s="111"/>
    </row>
    <row r="40" spans="1:40">
      <c r="A40" s="5"/>
      <c r="B40" s="504" t="s">
        <v>176</v>
      </c>
      <c r="C40" s="505">
        <v>0.18</v>
      </c>
      <c r="D40" s="506"/>
      <c r="E40" s="507"/>
      <c r="F40" s="708">
        <v>1</v>
      </c>
      <c r="G40" s="519">
        <f>C62</f>
        <v>1</v>
      </c>
      <c r="H40" s="683">
        <f>C40*$C$54/$C$57*F40*G40</f>
        <v>4.5398898184044079E-2</v>
      </c>
      <c r="I40" s="554">
        <f t="shared" si="10"/>
        <v>3.5118947901086384E-2</v>
      </c>
      <c r="J40" s="665"/>
      <c r="K40" s="508">
        <f>H40</f>
        <v>4.5398898184044079E-2</v>
      </c>
      <c r="L40" s="757"/>
      <c r="M40" s="603"/>
      <c r="N40" s="753"/>
      <c r="O40" s="616"/>
      <c r="P40" s="617"/>
      <c r="Q40" s="618"/>
      <c r="R40" s="16"/>
      <c r="U40" s="111"/>
      <c r="AA40" s="111"/>
      <c r="AB40" s="111"/>
      <c r="AC40" s="111"/>
      <c r="AD40" s="111"/>
      <c r="AE40" s="111"/>
      <c r="AF40" s="111"/>
      <c r="AG40" s="111"/>
      <c r="AH40" s="111"/>
      <c r="AI40" s="111"/>
      <c r="AJ40" s="111"/>
      <c r="AK40" s="111"/>
      <c r="AL40" s="111"/>
      <c r="AM40" s="111"/>
      <c r="AN40" s="111"/>
    </row>
    <row r="41" spans="1:40">
      <c r="A41" s="5"/>
      <c r="B41" s="91" t="s">
        <v>11</v>
      </c>
      <c r="C41" s="92"/>
      <c r="D41" s="93"/>
      <c r="E41" s="94"/>
      <c r="F41" s="298">
        <v>1</v>
      </c>
      <c r="G41" s="105">
        <f>C62</f>
        <v>1</v>
      </c>
      <c r="H41" s="273">
        <f>E169*F41*G41</f>
        <v>4.9568965517241388E-2</v>
      </c>
      <c r="I41" s="149">
        <f t="shared" si="10"/>
        <v>3.8344761374023255E-2</v>
      </c>
      <c r="J41" s="255"/>
      <c r="K41" s="95"/>
      <c r="L41" s="757">
        <f>H41</f>
        <v>4.9568965517241388E-2</v>
      </c>
      <c r="M41" s="198"/>
      <c r="N41" s="357"/>
      <c r="O41" s="212"/>
      <c r="P41" s="211"/>
      <c r="Q41" s="214"/>
      <c r="R41" s="7"/>
      <c r="AA41" s="111"/>
      <c r="AB41" s="111"/>
      <c r="AC41" s="111"/>
      <c r="AD41" s="111"/>
      <c r="AE41" s="111"/>
      <c r="AF41" s="111"/>
      <c r="AG41" s="111"/>
      <c r="AH41" s="111"/>
      <c r="AI41" s="111"/>
      <c r="AJ41" s="111"/>
      <c r="AK41" s="111"/>
      <c r="AL41" s="111"/>
      <c r="AM41" s="111"/>
      <c r="AN41" s="111"/>
    </row>
    <row r="42" spans="1:40">
      <c r="A42" s="5"/>
      <c r="B42" s="463" t="s">
        <v>38</v>
      </c>
      <c r="C42" s="464"/>
      <c r="D42" s="617" t="s">
        <v>110</v>
      </c>
      <c r="E42" s="616" t="s">
        <v>110</v>
      </c>
      <c r="F42" s="710">
        <v>1</v>
      </c>
      <c r="G42" s="521">
        <f>C62</f>
        <v>1</v>
      </c>
      <c r="H42" s="686">
        <f>SUM(J42:M42)</f>
        <v>8.3063051735746685E-2</v>
      </c>
      <c r="I42" s="568">
        <f t="shared" si="10"/>
        <v>6.4254576720942799E-2</v>
      </c>
      <c r="J42" s="612">
        <f>C144*F42*G42+N42</f>
        <v>2.7977377569732953E-2</v>
      </c>
      <c r="K42" s="466">
        <f>C145*F42*G42+O42</f>
        <v>3.0398837271895074E-2</v>
      </c>
      <c r="L42" s="758">
        <f>C146*F42*G42+P42</f>
        <v>2.4686836894118658E-2</v>
      </c>
      <c r="M42" s="613">
        <f>C147*F42*G42+Q42</f>
        <v>0</v>
      </c>
      <c r="N42" s="766"/>
      <c r="O42" s="629"/>
      <c r="P42" s="629"/>
      <c r="Q42" s="630"/>
      <c r="R42" s="8"/>
      <c r="Z42" s="111"/>
      <c r="AA42" s="111"/>
      <c r="AB42" s="111"/>
      <c r="AC42" s="111"/>
      <c r="AD42" s="111"/>
      <c r="AE42" s="111"/>
      <c r="AF42" s="111"/>
      <c r="AG42" s="111"/>
      <c r="AH42" s="111"/>
      <c r="AI42" s="111"/>
      <c r="AJ42" s="111"/>
      <c r="AK42" s="111"/>
      <c r="AL42" s="111"/>
      <c r="AM42" s="111"/>
      <c r="AN42" s="111"/>
    </row>
    <row r="43" spans="1:40">
      <c r="A43" s="5"/>
      <c r="B43" s="91" t="s">
        <v>14</v>
      </c>
      <c r="C43" s="92"/>
      <c r="D43" s="94"/>
      <c r="E43" s="94"/>
      <c r="F43" s="298">
        <v>1</v>
      </c>
      <c r="G43" s="105">
        <f>C62</f>
        <v>1</v>
      </c>
      <c r="H43" s="273">
        <f>E173*F43*G43</f>
        <v>3.2327586206896554E-2</v>
      </c>
      <c r="I43" s="149">
        <f t="shared" si="10"/>
        <v>2.5007453070015163E-2</v>
      </c>
      <c r="J43" s="255"/>
      <c r="K43" s="95"/>
      <c r="L43" s="360">
        <f>H43</f>
        <v>3.2327586206896554E-2</v>
      </c>
      <c r="M43" s="198"/>
      <c r="N43" s="357"/>
      <c r="O43" s="212"/>
      <c r="P43" s="211"/>
      <c r="Q43" s="214"/>
      <c r="R43" s="8"/>
      <c r="Z43" s="111"/>
      <c r="AA43" s="111"/>
      <c r="AB43" s="111"/>
      <c r="AC43" s="111"/>
      <c r="AD43" s="111"/>
      <c r="AE43" s="111"/>
      <c r="AF43" s="111"/>
      <c r="AG43" s="111"/>
      <c r="AH43" s="111"/>
      <c r="AI43" s="111"/>
      <c r="AJ43" s="111"/>
      <c r="AK43" s="111"/>
      <c r="AL43" s="111"/>
      <c r="AM43" s="111"/>
      <c r="AN43" s="111"/>
    </row>
    <row r="44" spans="1:40">
      <c r="A44" s="5"/>
      <c r="B44" s="449" t="s">
        <v>29</v>
      </c>
      <c r="C44" s="450"/>
      <c r="D44" s="453"/>
      <c r="E44" s="451"/>
      <c r="F44" s="756">
        <v>1</v>
      </c>
      <c r="G44" s="522">
        <f>C62</f>
        <v>1</v>
      </c>
      <c r="H44" s="687">
        <f>$C$153*F44*G44</f>
        <v>3.1034482758620693E-3</v>
      </c>
      <c r="I44" s="569">
        <f t="shared" si="10"/>
        <v>2.400715494721456E-3</v>
      </c>
      <c r="J44" s="547"/>
      <c r="K44" s="452"/>
      <c r="L44" s="759">
        <f>H44</f>
        <v>3.1034482758620693E-3</v>
      </c>
      <c r="M44" s="604"/>
      <c r="N44" s="357"/>
      <c r="O44" s="212"/>
      <c r="P44" s="616"/>
      <c r="Q44" s="619"/>
      <c r="R44" s="8"/>
      <c r="Z44" s="111"/>
      <c r="AA44" s="111"/>
      <c r="AB44" s="111"/>
      <c r="AC44" s="111"/>
      <c r="AD44" s="111"/>
      <c r="AE44" s="111"/>
      <c r="AF44" s="111"/>
      <c r="AG44" s="111"/>
      <c r="AH44" s="111"/>
      <c r="AI44" s="111"/>
      <c r="AJ44" s="111"/>
      <c r="AK44" s="111"/>
      <c r="AL44" s="111"/>
      <c r="AM44" s="111"/>
      <c r="AN44" s="111"/>
    </row>
    <row r="45" spans="1:40">
      <c r="A45" s="5"/>
      <c r="B45" s="91" t="s">
        <v>77</v>
      </c>
      <c r="C45" s="92">
        <f>C178</f>
        <v>0.05</v>
      </c>
      <c r="D45" s="94"/>
      <c r="E45" s="94"/>
      <c r="F45" s="301">
        <v>1</v>
      </c>
      <c r="G45" s="105">
        <f>C62</f>
        <v>1</v>
      </c>
      <c r="H45" s="273">
        <f>C45*$C$54/$C$57*F45*G45</f>
        <v>1.2610805051123355E-2</v>
      </c>
      <c r="I45" s="149">
        <f t="shared" si="10"/>
        <v>9.7552633058573292E-3</v>
      </c>
      <c r="J45" s="255"/>
      <c r="K45" s="95">
        <f>H45</f>
        <v>1.2610805051123355E-2</v>
      </c>
      <c r="L45" s="360"/>
      <c r="M45" s="198"/>
      <c r="N45" s="357"/>
      <c r="O45" s="211"/>
      <c r="P45" s="212"/>
      <c r="Q45" s="213"/>
      <c r="R45" s="8"/>
      <c r="Z45" s="111"/>
      <c r="AA45" s="111"/>
      <c r="AB45" s="111"/>
      <c r="AC45" s="111"/>
      <c r="AD45" s="111"/>
      <c r="AE45" s="111"/>
      <c r="AF45" s="111"/>
      <c r="AG45" s="111"/>
      <c r="AH45" s="111"/>
      <c r="AI45" s="111"/>
      <c r="AJ45" s="111"/>
      <c r="AK45" s="111"/>
      <c r="AL45" s="111"/>
      <c r="AM45" s="111"/>
      <c r="AN45" s="111"/>
    </row>
    <row r="46" spans="1:40">
      <c r="A46" s="5"/>
      <c r="B46" s="173" t="s">
        <v>73</v>
      </c>
      <c r="C46" s="150"/>
      <c r="D46" s="146"/>
      <c r="E46" s="146"/>
      <c r="F46" s="302">
        <v>1</v>
      </c>
      <c r="G46" s="263">
        <v>1</v>
      </c>
      <c r="H46" s="278">
        <f>C183*F46*G46</f>
        <v>0</v>
      </c>
      <c r="I46" s="358">
        <f t="shared" si="10"/>
        <v>0</v>
      </c>
      <c r="J46" s="259"/>
      <c r="K46" s="260"/>
      <c r="L46" s="363"/>
      <c r="M46" s="203">
        <f>H46</f>
        <v>0</v>
      </c>
      <c r="N46" s="357"/>
      <c r="O46" s="212"/>
      <c r="P46" s="212"/>
      <c r="Q46" s="214"/>
      <c r="R46" s="8"/>
      <c r="Z46" s="111"/>
      <c r="AA46" s="111"/>
      <c r="AB46" s="111"/>
      <c r="AC46" s="111"/>
      <c r="AD46" s="111"/>
      <c r="AE46" s="111"/>
      <c r="AF46" s="111"/>
      <c r="AG46" s="111"/>
      <c r="AH46" s="111"/>
      <c r="AI46" s="111"/>
      <c r="AJ46" s="111"/>
      <c r="AK46" s="111"/>
      <c r="AL46" s="111"/>
      <c r="AM46" s="111"/>
      <c r="AN46" s="111"/>
    </row>
    <row r="47" spans="1:40" ht="15" thickBot="1">
      <c r="A47" s="5"/>
      <c r="B47" s="174" t="s">
        <v>76</v>
      </c>
      <c r="C47" s="159"/>
      <c r="D47" s="359"/>
      <c r="E47" s="359"/>
      <c r="F47" s="303">
        <v>1</v>
      </c>
      <c r="G47" s="264">
        <v>1</v>
      </c>
      <c r="H47" s="279">
        <f>C187*F47*G47</f>
        <v>0</v>
      </c>
      <c r="I47" s="356">
        <f t="shared" si="10"/>
        <v>0</v>
      </c>
      <c r="J47" s="261"/>
      <c r="K47" s="262"/>
      <c r="L47" s="262"/>
      <c r="M47" s="204">
        <f>H47</f>
        <v>0</v>
      </c>
      <c r="N47" s="370"/>
      <c r="O47" s="215"/>
      <c r="P47" s="215"/>
      <c r="Q47" s="216"/>
      <c r="R47" s="8"/>
      <c r="Z47" s="111"/>
      <c r="AA47" s="111"/>
      <c r="AB47" s="111"/>
      <c r="AC47" s="111"/>
      <c r="AD47" s="111"/>
      <c r="AE47" s="111"/>
      <c r="AF47" s="111"/>
      <c r="AG47" s="111"/>
      <c r="AH47" s="111"/>
      <c r="AI47" s="111"/>
      <c r="AJ47" s="111"/>
      <c r="AK47" s="111"/>
      <c r="AL47" s="111"/>
      <c r="AM47" s="111"/>
      <c r="AN47" s="111"/>
    </row>
    <row r="48" spans="1:40" ht="15" thickBot="1">
      <c r="A48" s="5"/>
      <c r="B48" s="37" t="s">
        <v>6</v>
      </c>
      <c r="C48" s="172"/>
      <c r="D48" s="2"/>
      <c r="E48" s="2"/>
      <c r="F48" s="2"/>
      <c r="G48" s="2"/>
      <c r="H48" s="42">
        <f>SUM(H28:H47)</f>
        <v>1.2927180595475551</v>
      </c>
      <c r="I48" s="147">
        <f t="shared" ref="I48:M48" si="11">SUM(I28:I47)</f>
        <v>1</v>
      </c>
      <c r="J48" s="206">
        <f t="shared" si="11"/>
        <v>0.5595475513946595</v>
      </c>
      <c r="K48" s="209">
        <f t="shared" si="11"/>
        <v>0.33696803394350205</v>
      </c>
      <c r="L48" s="209">
        <f t="shared" si="11"/>
        <v>0.39620247420939375</v>
      </c>
      <c r="M48" s="210">
        <f t="shared" si="11"/>
        <v>0</v>
      </c>
      <c r="N48" s="22"/>
      <c r="O48" s="209"/>
      <c r="P48" s="209"/>
      <c r="Q48" s="210"/>
      <c r="R48" s="8"/>
      <c r="Z48" s="111"/>
      <c r="AA48" s="111"/>
      <c r="AB48" s="111"/>
      <c r="AC48" s="111"/>
      <c r="AD48" s="111"/>
      <c r="AE48" s="111"/>
      <c r="AF48" s="111"/>
      <c r="AG48" s="111"/>
      <c r="AH48" s="111"/>
      <c r="AI48" s="111"/>
      <c r="AJ48" s="111"/>
      <c r="AK48" s="111"/>
      <c r="AL48" s="111"/>
      <c r="AM48" s="111"/>
      <c r="AN48" s="111"/>
    </row>
    <row r="49" spans="1:40">
      <c r="A49" s="5"/>
      <c r="G49" s="401"/>
      <c r="H49" s="404"/>
      <c r="K49" s="16"/>
      <c r="Q49" s="8"/>
      <c r="R49" s="8"/>
      <c r="Z49" s="111"/>
      <c r="AA49" s="111"/>
      <c r="AB49" s="111"/>
      <c r="AC49" s="111"/>
      <c r="AD49" s="111"/>
      <c r="AE49" s="111"/>
      <c r="AF49" s="526"/>
      <c r="AG49" s="111"/>
      <c r="AH49" s="111"/>
      <c r="AI49" s="111"/>
      <c r="AJ49" s="111"/>
      <c r="AK49" s="111"/>
      <c r="AL49" s="111"/>
      <c r="AM49" s="111"/>
      <c r="AN49" s="111"/>
    </row>
    <row r="50" spans="1:40">
      <c r="A50" s="5"/>
      <c r="Q50" s="8"/>
      <c r="R50" s="8"/>
      <c r="Z50" s="111"/>
      <c r="AA50" s="111"/>
      <c r="AB50" s="111"/>
      <c r="AC50" s="111"/>
      <c r="AD50" s="111"/>
      <c r="AE50" s="111"/>
      <c r="AF50" s="111"/>
      <c r="AG50" s="111"/>
      <c r="AH50" s="111"/>
      <c r="AI50" s="111"/>
      <c r="AJ50" s="111"/>
      <c r="AK50" s="111"/>
      <c r="AL50" s="111"/>
      <c r="AM50" s="111"/>
      <c r="AN50" s="111"/>
    </row>
    <row r="51" spans="1:40" ht="28.8">
      <c r="A51" s="5"/>
      <c r="B51" s="133" t="s">
        <v>57</v>
      </c>
      <c r="C51" s="24"/>
      <c r="D51" s="24"/>
      <c r="E51" s="24"/>
      <c r="F51" s="24"/>
      <c r="G51" s="134"/>
      <c r="H51" s="24"/>
      <c r="I51" s="24"/>
      <c r="J51" s="24"/>
      <c r="Q51" s="8"/>
      <c r="R51" s="8"/>
      <c r="Z51" s="111"/>
      <c r="AA51" s="111"/>
      <c r="AB51" s="12"/>
      <c r="AC51" s="111"/>
      <c r="AD51" s="111"/>
      <c r="AE51" s="111"/>
      <c r="AF51" s="111"/>
      <c r="AG51" s="111"/>
      <c r="AH51" s="111"/>
      <c r="AI51" s="111"/>
      <c r="AJ51" s="111"/>
      <c r="AK51" s="111"/>
      <c r="AL51" s="111"/>
      <c r="AM51" s="111"/>
      <c r="AN51" s="111"/>
    </row>
    <row r="52" spans="1:40">
      <c r="A52" s="5"/>
      <c r="E52" s="111"/>
      <c r="Q52" s="8"/>
      <c r="R52" s="8"/>
      <c r="Z52" s="111"/>
      <c r="AA52" s="111"/>
      <c r="AB52" s="111"/>
      <c r="AC52" s="111"/>
      <c r="AD52" s="111"/>
      <c r="AE52" s="111"/>
      <c r="AF52" s="111"/>
      <c r="AG52" s="111"/>
      <c r="AH52" s="111"/>
      <c r="AI52" s="111"/>
      <c r="AJ52" s="111"/>
      <c r="AK52" s="111"/>
      <c r="AL52" s="111"/>
      <c r="AM52" s="111"/>
      <c r="AN52" s="111"/>
    </row>
    <row r="53" spans="1:40">
      <c r="A53" s="5"/>
      <c r="B53" s="379" t="s">
        <v>203</v>
      </c>
      <c r="C53" s="378"/>
      <c r="D53" s="380"/>
      <c r="H53" s="3"/>
      <c r="Q53" s="8"/>
      <c r="R53" s="8"/>
      <c r="Z53" s="111"/>
      <c r="AA53" s="111"/>
      <c r="AB53" s="111"/>
      <c r="AC53" s="111"/>
      <c r="AD53" s="111"/>
      <c r="AE53" s="111"/>
      <c r="AF53" s="111"/>
      <c r="AG53" s="111"/>
      <c r="AH53" s="111"/>
      <c r="AI53" s="111"/>
      <c r="AJ53" s="111"/>
      <c r="AK53" s="111"/>
      <c r="AL53" s="111"/>
      <c r="AM53" s="111"/>
      <c r="AN53" s="111"/>
    </row>
    <row r="54" spans="1:40">
      <c r="A54" s="5"/>
      <c r="B54" s="381" t="s">
        <v>197</v>
      </c>
      <c r="C54" s="382">
        <v>72</v>
      </c>
      <c r="D54" s="383" t="s">
        <v>200</v>
      </c>
      <c r="H54" s="354"/>
      <c r="Q54" s="8"/>
      <c r="R54" s="8"/>
      <c r="Z54" s="111"/>
      <c r="AA54" s="111"/>
      <c r="AB54" s="111"/>
      <c r="AC54" s="111"/>
      <c r="AD54" s="111"/>
      <c r="AE54" s="111"/>
      <c r="AF54" s="111"/>
      <c r="AG54" s="111"/>
      <c r="AH54" s="111"/>
      <c r="AI54" s="111"/>
      <c r="AJ54" s="111"/>
      <c r="AK54" s="111"/>
      <c r="AL54" s="111"/>
      <c r="AM54" s="111"/>
      <c r="AN54" s="111"/>
    </row>
    <row r="55" spans="1:40">
      <c r="A55" s="5"/>
      <c r="B55" s="4" t="s">
        <v>196</v>
      </c>
      <c r="C55" s="111">
        <v>89</v>
      </c>
      <c r="D55" s="66" t="s">
        <v>1</v>
      </c>
      <c r="M55" s="3"/>
      <c r="Q55" s="8"/>
      <c r="R55" s="8"/>
      <c r="Z55" s="111"/>
      <c r="AA55" s="111"/>
      <c r="AB55" s="111"/>
      <c r="AC55" s="111"/>
      <c r="AD55" s="111"/>
      <c r="AE55" s="111"/>
      <c r="AF55" s="111"/>
      <c r="AG55" s="111"/>
      <c r="AH55" s="111"/>
      <c r="AI55" s="111"/>
      <c r="AJ55" s="111"/>
      <c r="AK55" s="111"/>
      <c r="AL55" s="111"/>
      <c r="AM55" s="111"/>
      <c r="AN55" s="111"/>
    </row>
    <row r="56" spans="1:40">
      <c r="A56" s="5"/>
      <c r="B56" s="5" t="s">
        <v>198</v>
      </c>
      <c r="C56" s="130">
        <f>C54*0.156^2/(C55/100)</f>
        <v>1.9687550561797753</v>
      </c>
      <c r="D56" s="66" t="s">
        <v>199</v>
      </c>
      <c r="H56" s="321"/>
      <c r="M56" s="3"/>
      <c r="Q56" s="9"/>
      <c r="R56" s="9"/>
      <c r="Z56" s="111"/>
      <c r="AA56" s="111"/>
      <c r="AB56" s="111"/>
      <c r="AC56" s="111"/>
      <c r="AD56" s="111"/>
      <c r="AE56" s="111"/>
      <c r="AF56" s="111"/>
      <c r="AG56" s="111"/>
      <c r="AH56" s="111"/>
      <c r="AI56" s="111"/>
      <c r="AJ56" s="111"/>
      <c r="AK56" s="111"/>
      <c r="AL56" s="111"/>
      <c r="AM56" s="111"/>
      <c r="AN56" s="111"/>
    </row>
    <row r="57" spans="1:40">
      <c r="A57" s="5"/>
      <c r="B57" s="352" t="s">
        <v>201</v>
      </c>
      <c r="C57" s="377">
        <f>C56*1000*$C$14/100</f>
        <v>285.46948314606738</v>
      </c>
      <c r="D57" s="350" t="s">
        <v>202</v>
      </c>
      <c r="M57" s="3"/>
      <c r="Q57" s="16"/>
      <c r="R57" s="16"/>
      <c r="Z57" s="111"/>
      <c r="AA57" s="111"/>
      <c r="AB57" s="111"/>
      <c r="AC57" s="111"/>
      <c r="AD57" s="111"/>
      <c r="AE57" s="111"/>
      <c r="AF57" s="111"/>
      <c r="AG57" s="111"/>
      <c r="AH57" s="111"/>
      <c r="AI57" s="111"/>
      <c r="AJ57" s="111"/>
      <c r="AK57" s="111"/>
      <c r="AL57" s="111"/>
      <c r="AM57" s="111"/>
      <c r="AN57" s="111"/>
    </row>
    <row r="58" spans="1:40">
      <c r="A58" s="5"/>
      <c r="M58" s="3"/>
      <c r="Q58" s="16"/>
      <c r="R58" s="16"/>
      <c r="Z58" s="111"/>
      <c r="AA58" s="111"/>
      <c r="AB58" s="144"/>
      <c r="AC58" s="111"/>
      <c r="AD58" s="111"/>
      <c r="AE58" s="111"/>
      <c r="AF58" s="111"/>
      <c r="AG58" s="111"/>
      <c r="AH58" s="111"/>
      <c r="AI58" s="111"/>
      <c r="AJ58" s="111"/>
      <c r="AK58" s="111"/>
      <c r="AL58" s="111"/>
      <c r="AM58" s="111"/>
      <c r="AN58" s="111"/>
    </row>
    <row r="59" spans="1:40">
      <c r="A59" s="5"/>
      <c r="B59" s="487" t="s">
        <v>65</v>
      </c>
      <c r="C59" s="488"/>
      <c r="D59" s="489"/>
      <c r="M59" s="3"/>
      <c r="N59" s="16"/>
      <c r="O59" s="16"/>
      <c r="P59" s="16"/>
      <c r="Q59" s="16"/>
      <c r="R59" s="16"/>
      <c r="Z59" s="111"/>
      <c r="AA59" s="111"/>
      <c r="AB59" s="144"/>
      <c r="AC59" s="111"/>
      <c r="AD59" s="111"/>
      <c r="AE59" s="111"/>
      <c r="AF59" s="111"/>
      <c r="AG59" s="111"/>
      <c r="AH59" s="111"/>
      <c r="AI59" s="111"/>
      <c r="AJ59" s="111"/>
      <c r="AK59" s="111"/>
      <c r="AL59" s="111"/>
      <c r="AM59" s="111"/>
      <c r="AN59" s="111"/>
    </row>
    <row r="60" spans="1:40">
      <c r="A60" s="5"/>
      <c r="B60" s="405" t="s">
        <v>49</v>
      </c>
      <c r="C60" s="526">
        <v>0</v>
      </c>
      <c r="D60" s="467" t="s">
        <v>31</v>
      </c>
      <c r="M60" s="3"/>
      <c r="N60" s="16"/>
      <c r="O60" s="16"/>
      <c r="P60" s="16"/>
      <c r="Q60" s="16"/>
      <c r="R60" s="16"/>
      <c r="Z60" s="111"/>
      <c r="AA60" s="111"/>
      <c r="AB60" s="144"/>
      <c r="AC60" s="111"/>
      <c r="AD60" s="111"/>
      <c r="AE60" s="111"/>
      <c r="AF60" s="111"/>
      <c r="AG60" s="111"/>
      <c r="AH60" s="111"/>
      <c r="AI60" s="111"/>
      <c r="AJ60" s="111"/>
      <c r="AK60" s="111"/>
      <c r="AL60" s="111"/>
      <c r="AM60" s="111"/>
      <c r="AN60" s="111"/>
    </row>
    <row r="61" spans="1:40">
      <c r="A61" s="5"/>
      <c r="B61" s="405" t="s">
        <v>48</v>
      </c>
      <c r="C61" s="526">
        <v>5</v>
      </c>
      <c r="D61" s="467" t="s">
        <v>1</v>
      </c>
      <c r="E61" s="1"/>
      <c r="H61" s="3"/>
      <c r="N61" s="16"/>
      <c r="O61" s="16"/>
      <c r="P61" s="16"/>
      <c r="Q61" s="16"/>
      <c r="R61" s="16"/>
      <c r="Z61" s="111"/>
      <c r="AA61" s="111"/>
      <c r="AB61" s="111"/>
      <c r="AC61" s="111"/>
      <c r="AD61" s="111"/>
      <c r="AE61" s="111"/>
      <c r="AF61" s="111"/>
      <c r="AG61" s="111"/>
      <c r="AH61" s="111"/>
      <c r="AI61" s="111"/>
      <c r="AJ61" s="111"/>
      <c r="AK61" s="111"/>
      <c r="AL61" s="111"/>
      <c r="AM61" s="111"/>
      <c r="AN61" s="111"/>
    </row>
    <row r="62" spans="1:40">
      <c r="A62" s="5"/>
      <c r="B62" s="525" t="s">
        <v>47</v>
      </c>
      <c r="C62" s="434">
        <f>(1-C61/100)^C60</f>
        <v>1</v>
      </c>
      <c r="D62" s="524" t="s">
        <v>31</v>
      </c>
      <c r="M62" s="3"/>
      <c r="N62" s="16"/>
      <c r="O62" s="16"/>
      <c r="P62" s="16"/>
      <c r="Q62" s="16"/>
      <c r="R62" s="16"/>
      <c r="Z62" s="111"/>
      <c r="AA62" s="111"/>
      <c r="AB62" s="132"/>
      <c r="AC62" s="111"/>
      <c r="AD62" s="111"/>
      <c r="AE62" s="111"/>
      <c r="AF62" s="111"/>
      <c r="AG62" s="111"/>
      <c r="AH62" s="111"/>
      <c r="AI62" s="111"/>
      <c r="AJ62" s="111"/>
      <c r="AK62" s="111"/>
      <c r="AL62" s="111"/>
      <c r="AM62" s="111"/>
      <c r="AN62" s="111"/>
    </row>
    <row r="63" spans="1:40">
      <c r="A63" s="5"/>
      <c r="M63" s="3"/>
      <c r="N63" s="16"/>
      <c r="O63" s="16"/>
      <c r="P63" s="16"/>
      <c r="Q63" s="16"/>
      <c r="R63" s="16"/>
      <c r="Z63" s="111"/>
      <c r="AA63" s="111"/>
      <c r="AB63" s="144"/>
      <c r="AC63" s="111"/>
      <c r="AD63" s="111"/>
      <c r="AE63" s="111"/>
      <c r="AF63" s="111"/>
      <c r="AG63" s="111"/>
      <c r="AH63" s="111"/>
      <c r="AI63" s="111"/>
      <c r="AJ63" s="111"/>
      <c r="AK63" s="111"/>
      <c r="AL63" s="111"/>
      <c r="AM63" s="111"/>
      <c r="AN63" s="111"/>
    </row>
    <row r="64" spans="1:40">
      <c r="A64" s="5"/>
      <c r="B64" s="83" t="s">
        <v>36</v>
      </c>
      <c r="C64" s="84"/>
      <c r="D64" s="85"/>
      <c r="N64" s="16"/>
      <c r="O64" s="16"/>
      <c r="P64" s="16"/>
      <c r="Q64" s="16"/>
      <c r="R64" s="16"/>
      <c r="Z64" s="111"/>
      <c r="AA64" s="111"/>
      <c r="AB64" s="144"/>
      <c r="AC64" s="111"/>
      <c r="AD64" s="111"/>
      <c r="AE64" s="111"/>
      <c r="AF64" s="111"/>
      <c r="AG64" s="111"/>
      <c r="AH64" s="111"/>
      <c r="AI64" s="111"/>
      <c r="AJ64" s="111"/>
      <c r="AK64" s="111"/>
      <c r="AL64" s="111"/>
      <c r="AM64" s="111"/>
      <c r="AN64" s="111"/>
    </row>
    <row r="65" spans="1:40">
      <c r="A65" s="5"/>
      <c r="B65" s="67" t="s">
        <v>18</v>
      </c>
      <c r="C65" s="122">
        <v>2329</v>
      </c>
      <c r="D65" s="69" t="s">
        <v>20</v>
      </c>
      <c r="K65" s="3"/>
      <c r="N65" s="16"/>
      <c r="O65" s="16"/>
      <c r="P65" s="16"/>
      <c r="Q65" s="16"/>
      <c r="R65" s="16"/>
      <c r="Z65" s="111"/>
      <c r="AA65" s="111"/>
      <c r="AB65" s="144"/>
      <c r="AC65" s="111"/>
      <c r="AD65" s="111"/>
      <c r="AE65" s="111"/>
      <c r="AF65" s="111"/>
      <c r="AG65" s="111"/>
      <c r="AH65" s="111"/>
      <c r="AI65" s="111"/>
      <c r="AJ65" s="111"/>
      <c r="AK65" s="111"/>
      <c r="AL65" s="111"/>
      <c r="AM65" s="111"/>
      <c r="AN65" s="111"/>
    </row>
    <row r="66" spans="1:40" ht="15" customHeight="1">
      <c r="A66" s="5"/>
      <c r="B66" s="67" t="s">
        <v>204</v>
      </c>
      <c r="C66" s="68">
        <f>0.156*0.156*(C15/10^6/C16)*C65</f>
        <v>2.2671417600000004E-2</v>
      </c>
      <c r="D66" s="69" t="s">
        <v>19</v>
      </c>
      <c r="N66" s="16"/>
      <c r="O66" s="16"/>
      <c r="P66" s="16"/>
      <c r="Q66" s="16"/>
      <c r="R66" s="16"/>
      <c r="Z66" s="111"/>
      <c r="AA66" s="111"/>
      <c r="AB66" s="111"/>
      <c r="AC66" s="111"/>
      <c r="AD66" s="111"/>
      <c r="AE66" s="111"/>
      <c r="AF66" s="111"/>
      <c r="AG66" s="111"/>
      <c r="AH66" s="111"/>
      <c r="AI66" s="111"/>
      <c r="AJ66" s="111"/>
      <c r="AK66" s="111"/>
      <c r="AL66" s="111"/>
      <c r="AM66" s="111"/>
      <c r="AN66" s="111"/>
    </row>
    <row r="67" spans="1:40">
      <c r="A67" s="5"/>
      <c r="B67" s="384" t="s">
        <v>54</v>
      </c>
      <c r="C67" s="385">
        <f>C66*C17</f>
        <v>0.90685670400000018</v>
      </c>
      <c r="D67" s="386" t="s">
        <v>21</v>
      </c>
      <c r="M67" s="16"/>
      <c r="N67" s="16"/>
      <c r="O67" s="8"/>
      <c r="P67" s="16"/>
      <c r="Q67" s="16"/>
      <c r="R67" s="16"/>
      <c r="Z67" s="111"/>
      <c r="AA67" s="111"/>
      <c r="AB67" s="111"/>
      <c r="AC67" s="111"/>
      <c r="AD67" s="111"/>
      <c r="AE67" s="111"/>
      <c r="AF67" s="111"/>
      <c r="AG67" s="111"/>
      <c r="AH67" s="111"/>
      <c r="AI67" s="111"/>
      <c r="AJ67" s="111"/>
      <c r="AK67" s="111"/>
      <c r="AL67" s="111"/>
      <c r="AM67" s="111"/>
      <c r="AN67" s="111"/>
    </row>
    <row r="68" spans="1:40">
      <c r="A68" s="5"/>
      <c r="J68" s="111"/>
      <c r="K68" s="414"/>
      <c r="L68" s="414"/>
      <c r="M68" s="414"/>
      <c r="N68" s="414"/>
      <c r="O68" s="129"/>
      <c r="P68" s="16"/>
      <c r="Q68" s="16"/>
      <c r="R68" s="16"/>
      <c r="Z68" s="111"/>
      <c r="AA68" s="111"/>
      <c r="AB68" s="111"/>
      <c r="AC68" s="111"/>
      <c r="AD68" s="111"/>
      <c r="AE68" s="111"/>
      <c r="AF68" s="111"/>
      <c r="AG68" s="111"/>
      <c r="AH68" s="111"/>
      <c r="AI68" s="111"/>
      <c r="AJ68" s="111"/>
      <c r="AK68" s="111"/>
      <c r="AL68" s="111"/>
      <c r="AM68" s="111"/>
      <c r="AN68" s="111"/>
    </row>
    <row r="69" spans="1:40">
      <c r="A69" s="5"/>
      <c r="B69" s="495" t="s">
        <v>192</v>
      </c>
      <c r="C69" s="496"/>
      <c r="D69" s="497"/>
      <c r="E69" s="497"/>
      <c r="F69" s="497"/>
      <c r="G69" s="497"/>
      <c r="H69" s="497"/>
      <c r="I69" s="497"/>
      <c r="J69" s="498"/>
      <c r="K69" s="414"/>
      <c r="L69" s="414"/>
      <c r="M69" s="414"/>
      <c r="N69" s="414"/>
      <c r="O69" s="129"/>
      <c r="P69" s="16"/>
      <c r="Q69" s="16"/>
      <c r="R69" s="16"/>
      <c r="Z69" s="111"/>
      <c r="AA69" s="111"/>
      <c r="AB69" s="111"/>
      <c r="AC69" s="111"/>
      <c r="AD69" s="111"/>
      <c r="AE69" s="111"/>
      <c r="AF69" s="111"/>
      <c r="AG69" s="111"/>
      <c r="AH69" s="111"/>
      <c r="AI69" s="111"/>
      <c r="AJ69" s="111"/>
      <c r="AK69" s="111"/>
      <c r="AL69" s="111"/>
      <c r="AM69" s="111"/>
      <c r="AN69" s="111"/>
    </row>
    <row r="70" spans="1:40">
      <c r="A70" s="5"/>
      <c r="B70" s="462" t="s">
        <v>128</v>
      </c>
      <c r="C70" s="460">
        <v>347</v>
      </c>
      <c r="D70" s="460" t="s">
        <v>129</v>
      </c>
      <c r="E70" s="460"/>
      <c r="F70" s="460"/>
      <c r="G70" s="460"/>
      <c r="H70" s="460"/>
      <c r="I70" s="460"/>
      <c r="J70" s="491"/>
      <c r="K70" s="414"/>
      <c r="L70" s="414"/>
      <c r="M70" s="414"/>
      <c r="N70" s="414"/>
      <c r="O70" s="129"/>
      <c r="P70" s="16"/>
      <c r="Q70" s="16"/>
      <c r="R70" s="16"/>
      <c r="Z70" s="111"/>
      <c r="AA70" s="111"/>
      <c r="AB70" s="111"/>
      <c r="AC70" s="111"/>
      <c r="AD70" s="111"/>
      <c r="AE70" s="111"/>
      <c r="AF70" s="111"/>
      <c r="AG70" s="111"/>
      <c r="AH70" s="111"/>
      <c r="AI70" s="111"/>
      <c r="AJ70" s="111"/>
      <c r="AK70" s="111"/>
      <c r="AL70" s="111"/>
      <c r="AM70" s="111"/>
      <c r="AN70" s="111"/>
    </row>
    <row r="71" spans="1:40">
      <c r="A71" s="5"/>
      <c r="B71" s="462" t="s">
        <v>130</v>
      </c>
      <c r="C71" s="635">
        <v>14.4</v>
      </c>
      <c r="D71" s="460" t="s">
        <v>31</v>
      </c>
      <c r="E71" s="460"/>
      <c r="F71" s="460"/>
      <c r="G71" s="460"/>
      <c r="H71" s="460"/>
      <c r="I71" s="460"/>
      <c r="J71" s="491"/>
      <c r="K71" s="414"/>
      <c r="L71" s="414"/>
      <c r="M71" s="414"/>
      <c r="N71" s="414"/>
      <c r="O71" s="129"/>
      <c r="P71" s="16"/>
      <c r="Q71" s="16"/>
      <c r="R71" s="16"/>
      <c r="Z71" s="111"/>
      <c r="AA71" s="111"/>
      <c r="AB71" s="111"/>
      <c r="AC71" s="111"/>
      <c r="AD71" s="111"/>
      <c r="AE71" s="111"/>
      <c r="AF71" s="111"/>
      <c r="AG71" s="111"/>
      <c r="AH71" s="111"/>
      <c r="AI71" s="111"/>
      <c r="AJ71" s="111"/>
      <c r="AK71" s="111"/>
      <c r="AL71" s="111"/>
      <c r="AM71" s="111"/>
      <c r="AN71" s="111"/>
    </row>
    <row r="72" spans="1:40">
      <c r="A72" s="5"/>
      <c r="B72" s="462" t="s">
        <v>90</v>
      </c>
      <c r="C72" s="514">
        <f>C70*10^6/(C71/100*1000)</f>
        <v>2409722.2222222215</v>
      </c>
      <c r="D72" s="460" t="s">
        <v>34</v>
      </c>
      <c r="E72" s="460"/>
      <c r="F72" s="460"/>
      <c r="G72" s="460"/>
      <c r="H72" s="460"/>
      <c r="I72" s="460"/>
      <c r="J72" s="491"/>
      <c r="K72" s="414"/>
      <c r="L72" s="414"/>
      <c r="M72" s="414"/>
      <c r="N72" s="414"/>
      <c r="O72" s="129"/>
      <c r="P72" s="16"/>
      <c r="Q72" s="111"/>
      <c r="Z72" s="111"/>
      <c r="AA72" s="111"/>
      <c r="AB72" s="111"/>
      <c r="AC72" s="111"/>
      <c r="AD72" s="111"/>
      <c r="AE72" s="111"/>
      <c r="AF72" s="111"/>
      <c r="AG72" s="111"/>
      <c r="AH72" s="111"/>
      <c r="AI72" s="111"/>
      <c r="AJ72" s="111"/>
      <c r="AK72" s="111"/>
      <c r="AL72" s="111"/>
      <c r="AM72" s="111"/>
      <c r="AN72" s="111"/>
    </row>
    <row r="73" spans="1:40">
      <c r="A73" s="5"/>
      <c r="B73" s="462" t="s">
        <v>268</v>
      </c>
      <c r="C73" s="460">
        <v>5</v>
      </c>
      <c r="D73" s="460" t="s">
        <v>133</v>
      </c>
      <c r="E73" s="460"/>
      <c r="F73" s="460"/>
      <c r="G73" s="460"/>
      <c r="H73" s="460"/>
      <c r="I73" s="460"/>
      <c r="J73" s="491"/>
      <c r="K73" s="414"/>
      <c r="L73" s="414"/>
      <c r="M73" s="414"/>
      <c r="N73" s="414"/>
      <c r="O73" s="129"/>
      <c r="P73" s="16"/>
      <c r="Q73" s="111"/>
      <c r="Z73" s="111"/>
      <c r="AA73" s="111"/>
      <c r="AB73" s="111"/>
      <c r="AC73" s="111"/>
      <c r="AD73" s="111"/>
      <c r="AE73" s="111"/>
      <c r="AF73" s="111"/>
      <c r="AG73" s="111"/>
      <c r="AH73" s="111"/>
      <c r="AI73" s="111"/>
      <c r="AJ73" s="111"/>
      <c r="AK73" s="111"/>
      <c r="AL73" s="111"/>
      <c r="AM73" s="111"/>
      <c r="AN73" s="111"/>
    </row>
    <row r="74" spans="1:40">
      <c r="A74" s="5"/>
      <c r="B74" s="462" t="s">
        <v>269</v>
      </c>
      <c r="C74" s="634">
        <v>39</v>
      </c>
      <c r="D74" s="460" t="s">
        <v>133</v>
      </c>
      <c r="E74" s="460"/>
      <c r="F74" s="460"/>
      <c r="G74" s="460"/>
      <c r="H74" s="460"/>
      <c r="I74" s="460"/>
      <c r="J74" s="491"/>
      <c r="K74" s="414"/>
      <c r="L74" s="414"/>
      <c r="M74" s="414"/>
      <c r="N74" s="414"/>
      <c r="O74" s="129"/>
      <c r="P74" s="16"/>
      <c r="Q74" s="111"/>
      <c r="Z74" s="111"/>
      <c r="AA74" s="111"/>
      <c r="AB74" s="111"/>
      <c r="AC74" s="111"/>
      <c r="AD74" s="111"/>
      <c r="AE74" s="111"/>
      <c r="AF74" s="111"/>
      <c r="AG74" s="111"/>
      <c r="AH74" s="111"/>
      <c r="AI74" s="111"/>
      <c r="AJ74" s="111"/>
      <c r="AK74" s="111"/>
      <c r="AL74" s="111"/>
      <c r="AM74" s="111"/>
      <c r="AN74" s="111"/>
    </row>
    <row r="75" spans="1:40">
      <c r="A75" s="5"/>
      <c r="B75" s="750"/>
      <c r="C75" s="460"/>
      <c r="D75" s="460"/>
      <c r="E75" s="460"/>
      <c r="F75" s="460"/>
      <c r="G75" s="460"/>
      <c r="H75" s="460"/>
      <c r="I75" s="460"/>
      <c r="J75" s="491"/>
      <c r="K75" s="414"/>
      <c r="L75" s="414"/>
      <c r="M75" s="414"/>
      <c r="N75" s="749"/>
      <c r="O75" s="16"/>
      <c r="P75" s="16"/>
      <c r="Q75" s="111"/>
      <c r="Z75" s="111"/>
      <c r="AA75" s="111"/>
      <c r="AB75" s="111"/>
      <c r="AC75" s="111"/>
      <c r="AD75" s="111"/>
      <c r="AE75" s="111"/>
      <c r="AF75" s="111"/>
      <c r="AG75" s="111"/>
      <c r="AH75" s="111"/>
      <c r="AI75" s="111"/>
      <c r="AJ75" s="111"/>
      <c r="AK75" s="111"/>
      <c r="AL75" s="111"/>
      <c r="AM75" s="111"/>
      <c r="AN75" s="111"/>
    </row>
    <row r="76" spans="1:40">
      <c r="A76" s="5"/>
      <c r="B76" s="462"/>
      <c r="C76" s="460" t="s">
        <v>138</v>
      </c>
      <c r="D76" s="460" t="s">
        <v>234</v>
      </c>
      <c r="E76" s="460" t="s">
        <v>235</v>
      </c>
      <c r="F76" s="460" t="s">
        <v>236</v>
      </c>
      <c r="G76" s="460" t="s">
        <v>205</v>
      </c>
      <c r="H76" s="492" t="s">
        <v>135</v>
      </c>
      <c r="I76" s="460" t="s">
        <v>270</v>
      </c>
      <c r="J76" s="491"/>
      <c r="K76" s="414"/>
      <c r="L76" s="414"/>
      <c r="M76" s="414"/>
      <c r="N76" s="414"/>
      <c r="O76" s="355"/>
      <c r="P76" s="16"/>
      <c r="Q76" s="111"/>
      <c r="Z76" s="111"/>
      <c r="AA76" s="111"/>
      <c r="AB76" s="111"/>
      <c r="AC76" s="111"/>
      <c r="AD76" s="111"/>
      <c r="AE76" s="111"/>
      <c r="AF76" s="111"/>
      <c r="AG76" s="111"/>
      <c r="AH76" s="111"/>
      <c r="AI76" s="111"/>
      <c r="AJ76" s="111"/>
      <c r="AK76" s="111"/>
      <c r="AL76" s="111"/>
      <c r="AM76" s="111"/>
      <c r="AN76" s="111"/>
    </row>
    <row r="77" spans="1:40">
      <c r="A77" s="5"/>
      <c r="B77" s="462" t="s">
        <v>132</v>
      </c>
      <c r="C77" s="634">
        <f>28000+18500</f>
        <v>46500</v>
      </c>
      <c r="D77" s="514">
        <f>(80.5*0.85+16+76.8*0.85+13)*1.27*1000000*0.9</f>
        <v>185971815</v>
      </c>
      <c r="E77" s="514">
        <f>(80.5*0.85+16*0+76.8*0.85+13*0)*1.27*1000000*0.9/C73</f>
        <v>30564962.999999993</v>
      </c>
      <c r="F77" s="514">
        <f>(80.5*0.85*0+16*1+76.8*0.85*0+13*1)*1.27*1000000*0.9/C74</f>
        <v>849923.07692307688</v>
      </c>
      <c r="G77" s="635">
        <f>(E77+F77)/$C$72</f>
        <v>13.036725057858568</v>
      </c>
      <c r="H77" s="637">
        <f>G77/(($C$14/100)*1000)</f>
        <v>8.9908448674886676E-2</v>
      </c>
      <c r="I77" s="490">
        <f>D77/1000000/$C$70</f>
        <v>0.53594182997118156</v>
      </c>
      <c r="J77" s="491"/>
      <c r="K77" s="414"/>
      <c r="L77" s="414"/>
      <c r="M77" s="414"/>
      <c r="N77" s="414"/>
      <c r="O77" s="751"/>
      <c r="P77" s="16"/>
      <c r="Q77" s="111"/>
      <c r="Z77" s="111"/>
      <c r="AA77" s="111"/>
      <c r="AB77" s="111"/>
      <c r="AC77" s="111"/>
      <c r="AD77" s="111"/>
      <c r="AE77" s="111"/>
      <c r="AF77" s="111"/>
      <c r="AG77" s="111"/>
      <c r="AH77" s="111"/>
      <c r="AI77" s="111"/>
      <c r="AJ77" s="111"/>
      <c r="AK77" s="111"/>
      <c r="AL77" s="111"/>
      <c r="AM77" s="111"/>
      <c r="AN77" s="111"/>
    </row>
    <row r="78" spans="1:40">
      <c r="A78" s="5"/>
      <c r="B78" s="462" t="s">
        <v>44</v>
      </c>
      <c r="C78" s="634">
        <v>18000</v>
      </c>
      <c r="D78" s="514">
        <f>(110*0.85+16.3)*1.27*1000000*0.9</f>
        <v>125501400</v>
      </c>
      <c r="E78" s="514">
        <f>(110*0.85+16.3*0)*1.27*1000000*0.9/C73</f>
        <v>21374100</v>
      </c>
      <c r="F78" s="514">
        <f>(110*0.85*0+16.3*1)*1.27*1000000*0.9/C74</f>
        <v>477715.38461538462</v>
      </c>
      <c r="G78" s="635">
        <f t="shared" ref="G78:G79" si="12">(E78+F78)/$C$72</f>
        <v>9.0681885169585481</v>
      </c>
      <c r="H78" s="637">
        <f>G78/(($C$14/100)*1000)</f>
        <v>6.2539231151438265E-2</v>
      </c>
      <c r="I78" s="490">
        <f t="shared" ref="I78:I79" si="13">D78/1000000/$C$70</f>
        <v>0.36167550432276657</v>
      </c>
      <c r="J78" s="491"/>
      <c r="K78" s="414"/>
      <c r="L78" s="414"/>
      <c r="M78" s="414"/>
      <c r="N78" s="414"/>
      <c r="O78" s="751"/>
      <c r="P78" s="414"/>
      <c r="Q78" s="111"/>
      <c r="Z78" s="111"/>
      <c r="AA78" s="111"/>
      <c r="AB78" s="111"/>
      <c r="AC78" s="111"/>
      <c r="AD78" s="111"/>
      <c r="AE78" s="111"/>
      <c r="AF78" s="111"/>
      <c r="AG78" s="111"/>
      <c r="AH78" s="111"/>
      <c r="AI78" s="111"/>
      <c r="AJ78" s="111"/>
      <c r="AK78" s="111"/>
      <c r="AL78" s="111"/>
      <c r="AM78" s="111"/>
      <c r="AN78" s="111"/>
    </row>
    <row r="79" spans="1:40">
      <c r="A79" s="5"/>
      <c r="B79" s="462" t="s">
        <v>45</v>
      </c>
      <c r="C79" s="634">
        <v>20000</v>
      </c>
      <c r="D79" s="514">
        <f>(73.5*0.85+20)*1.27*1000000*0.6</f>
        <v>62845949.999999985</v>
      </c>
      <c r="E79" s="514">
        <f>(73.5*0.85+20*0)*1.27*1000000*0.6/C73</f>
        <v>9521190</v>
      </c>
      <c r="F79" s="514">
        <f>(73.5*0.85*0+20*1)*1.27*1000000*0.6/C74</f>
        <v>390769.23076923075</v>
      </c>
      <c r="G79" s="635">
        <f t="shared" si="12"/>
        <v>4.1133202571491916</v>
      </c>
      <c r="H79" s="637">
        <f>G79/(($C$14/100)*1000)</f>
        <v>2.8367725911373737E-2</v>
      </c>
      <c r="I79" s="490">
        <f t="shared" si="13"/>
        <v>0.18111224783861668</v>
      </c>
      <c r="J79" s="491"/>
      <c r="K79" s="414"/>
      <c r="L79" s="414"/>
      <c r="M79" s="414"/>
      <c r="N79" s="414"/>
      <c r="O79" s="355"/>
      <c r="P79" s="414"/>
      <c r="Q79" s="111"/>
      <c r="Z79" s="111"/>
      <c r="AA79" s="111"/>
      <c r="AB79" s="12"/>
      <c r="AC79" s="111"/>
      <c r="AD79" s="111"/>
      <c r="AE79" s="111"/>
      <c r="AF79" s="111"/>
      <c r="AG79" s="111"/>
      <c r="AH79" s="111"/>
      <c r="AI79" s="111"/>
      <c r="AJ79" s="111"/>
      <c r="AK79" s="111"/>
      <c r="AL79" s="111"/>
      <c r="AM79" s="111"/>
      <c r="AN79" s="111"/>
    </row>
    <row r="80" spans="1:40">
      <c r="A80" s="5"/>
      <c r="B80" s="493"/>
      <c r="C80" s="494" t="s">
        <v>194</v>
      </c>
      <c r="D80" s="808">
        <f>SUM(D77:D79)/1000000/C70</f>
        <v>1.0787295821325649</v>
      </c>
      <c r="E80" s="494"/>
      <c r="F80" s="494"/>
      <c r="G80" s="809" t="s">
        <v>136</v>
      </c>
      <c r="H80" s="810">
        <f>SUM(H77:H79)</f>
        <v>0.18081540573769869</v>
      </c>
      <c r="I80" s="494"/>
      <c r="J80" s="793"/>
      <c r="K80" s="414"/>
      <c r="L80" s="414"/>
      <c r="M80" s="414"/>
      <c r="N80" s="414"/>
      <c r="O80" s="129"/>
      <c r="P80" s="16"/>
      <c r="Q80" s="111"/>
      <c r="Z80" s="111"/>
      <c r="AA80" s="111"/>
      <c r="AB80" s="111"/>
      <c r="AC80" s="111"/>
      <c r="AD80" s="111"/>
      <c r="AE80" s="111"/>
      <c r="AF80" s="111"/>
      <c r="AG80" s="111"/>
      <c r="AH80" s="111"/>
      <c r="AI80" s="111"/>
      <c r="AJ80" s="111"/>
      <c r="AK80" s="111"/>
      <c r="AL80" s="111"/>
      <c r="AM80" s="111"/>
      <c r="AN80" s="111"/>
    </row>
    <row r="81" spans="1:40">
      <c r="A81" s="5"/>
      <c r="B81" s="16"/>
      <c r="C81" s="16"/>
      <c r="D81" s="16"/>
      <c r="E81" s="7"/>
      <c r="F81" s="7"/>
      <c r="G81" s="16"/>
      <c r="H81" s="16"/>
      <c r="I81" s="16"/>
      <c r="J81" s="16"/>
      <c r="K81" s="414"/>
      <c r="L81" s="414"/>
      <c r="M81" s="409"/>
      <c r="N81" s="633"/>
      <c r="O81" s="227"/>
      <c r="P81" s="227"/>
      <c r="Z81" s="111"/>
      <c r="AA81" s="111"/>
      <c r="AB81" s="111"/>
      <c r="AC81" s="111"/>
      <c r="AD81" s="111"/>
      <c r="AE81" s="111"/>
      <c r="AF81" s="111"/>
      <c r="AG81" s="111"/>
      <c r="AH81" s="111"/>
      <c r="AI81" s="111"/>
      <c r="AJ81" s="111"/>
      <c r="AK81" s="111"/>
      <c r="AL81" s="111"/>
      <c r="AM81" s="111"/>
      <c r="AN81" s="111"/>
    </row>
    <row r="82" spans="1:40">
      <c r="A82" s="5"/>
      <c r="B82" s="237" t="s">
        <v>126</v>
      </c>
      <c r="C82" s="238"/>
      <c r="D82" s="238"/>
      <c r="E82" s="239"/>
      <c r="F82" s="10"/>
      <c r="G82" s="10"/>
      <c r="H82" s="10"/>
      <c r="I82" s="10"/>
      <c r="J82" s="16"/>
      <c r="K82" s="414"/>
      <c r="L82" s="414"/>
      <c r="M82" s="409"/>
      <c r="N82" s="633"/>
      <c r="O82" s="227"/>
      <c r="P82" s="227"/>
      <c r="Z82" s="111"/>
      <c r="AA82" s="111"/>
      <c r="AB82" s="111"/>
      <c r="AC82" s="111"/>
      <c r="AD82" s="111"/>
      <c r="AE82" s="111"/>
      <c r="AF82" s="111"/>
      <c r="AG82" s="111"/>
      <c r="AH82" s="111"/>
      <c r="AI82" s="111"/>
      <c r="AJ82" s="111"/>
      <c r="AK82" s="111"/>
      <c r="AL82" s="111"/>
      <c r="AM82" s="111"/>
      <c r="AN82" s="111"/>
    </row>
    <row r="83" spans="1:40">
      <c r="A83" s="5"/>
      <c r="B83" s="148" t="s">
        <v>139</v>
      </c>
      <c r="C83" s="161">
        <v>0.05</v>
      </c>
      <c r="D83" s="241" t="s">
        <v>31</v>
      </c>
      <c r="E83" s="242"/>
      <c r="F83" s="10"/>
      <c r="G83" s="10"/>
      <c r="H83" s="10"/>
      <c r="I83" s="10"/>
      <c r="J83" s="16"/>
      <c r="K83" s="414"/>
      <c r="L83" s="414"/>
      <c r="M83" s="409"/>
      <c r="N83" s="633"/>
      <c r="O83" s="227"/>
      <c r="P83" s="227"/>
      <c r="Z83" s="111"/>
      <c r="AA83" s="111"/>
      <c r="AB83" s="111"/>
      <c r="AC83" s="111"/>
      <c r="AD83" s="111"/>
      <c r="AE83" s="111"/>
      <c r="AF83" s="111"/>
      <c r="AG83" s="111"/>
      <c r="AH83" s="111"/>
      <c r="AI83" s="111"/>
      <c r="AJ83" s="111"/>
      <c r="AK83" s="111"/>
      <c r="AL83" s="111"/>
      <c r="AM83" s="111"/>
      <c r="AN83" s="111"/>
    </row>
    <row r="84" spans="1:40">
      <c r="A84" s="5"/>
      <c r="B84" s="148"/>
      <c r="C84" s="161" t="s">
        <v>134</v>
      </c>
      <c r="D84" s="161" t="s">
        <v>205</v>
      </c>
      <c r="E84" s="243" t="s">
        <v>135</v>
      </c>
      <c r="F84" s="10"/>
      <c r="G84" s="10"/>
      <c r="H84" s="10"/>
      <c r="I84" s="10"/>
      <c r="J84" s="16"/>
      <c r="K84" s="16"/>
      <c r="L84" s="16"/>
      <c r="M84" s="8"/>
      <c r="N84" s="227"/>
      <c r="O84" s="227"/>
      <c r="P84" s="227"/>
      <c r="Z84" s="111"/>
      <c r="AA84" s="111"/>
      <c r="AB84" s="111"/>
      <c r="AC84" s="111"/>
      <c r="AD84" s="111"/>
      <c r="AE84" s="111"/>
      <c r="AF84" s="111"/>
      <c r="AG84" s="111"/>
      <c r="AH84" s="111"/>
      <c r="AI84" s="111"/>
      <c r="AJ84" s="111"/>
      <c r="AK84" s="111"/>
      <c r="AL84" s="111"/>
      <c r="AM84" s="111"/>
      <c r="AN84" s="111"/>
    </row>
    <row r="85" spans="1:40">
      <c r="A85" s="5"/>
      <c r="B85" s="148" t="s">
        <v>132</v>
      </c>
      <c r="C85" s="244">
        <f>$C$83*D77</f>
        <v>9298590.75</v>
      </c>
      <c r="D85" s="240">
        <f>C85/$C$72</f>
        <v>3.8587811757925081</v>
      </c>
      <c r="E85" s="245">
        <f>D85/(($C$14/100)*1000)</f>
        <v>2.6612283970982815E-2</v>
      </c>
      <c r="F85" s="10"/>
      <c r="G85" s="10"/>
      <c r="H85" s="10"/>
      <c r="I85" s="10"/>
      <c r="J85" s="16"/>
      <c r="K85" s="16"/>
      <c r="L85" s="16"/>
      <c r="M85" s="8"/>
      <c r="N85" s="227"/>
      <c r="O85" s="227"/>
      <c r="P85" s="227"/>
      <c r="Z85" s="111"/>
      <c r="AA85" s="111"/>
      <c r="AB85" s="111"/>
      <c r="AC85" s="111"/>
      <c r="AD85" s="111"/>
      <c r="AE85" s="111"/>
      <c r="AF85" s="111"/>
      <c r="AG85" s="111"/>
      <c r="AH85" s="111"/>
      <c r="AI85" s="111"/>
      <c r="AJ85" s="111"/>
      <c r="AK85" s="111"/>
      <c r="AL85" s="111"/>
      <c r="AM85" s="111"/>
      <c r="AN85" s="111"/>
    </row>
    <row r="86" spans="1:40">
      <c r="A86" s="5"/>
      <c r="B86" s="148" t="s">
        <v>44</v>
      </c>
      <c r="C86" s="244">
        <f>$C$83*D78</f>
        <v>6275070</v>
      </c>
      <c r="D86" s="240">
        <f>C86/$C$72</f>
        <v>2.6040636311239203</v>
      </c>
      <c r="E86" s="245">
        <f>D86/(($C$14/100)*1000)</f>
        <v>1.7959059524992552E-2</v>
      </c>
      <c r="F86" s="10"/>
      <c r="G86" s="10"/>
      <c r="H86" s="10"/>
      <c r="I86" s="10"/>
      <c r="J86" s="16"/>
      <c r="K86" s="16"/>
      <c r="L86" s="16"/>
      <c r="M86" s="8"/>
      <c r="N86" s="227"/>
      <c r="O86" s="227"/>
      <c r="P86" s="227"/>
      <c r="Z86" s="111"/>
      <c r="AA86" s="111"/>
      <c r="AB86" s="111"/>
      <c r="AC86" s="111"/>
      <c r="AD86" s="111"/>
      <c r="AE86" s="111"/>
      <c r="AF86" s="111"/>
      <c r="AG86" s="111"/>
      <c r="AH86" s="111"/>
      <c r="AI86" s="111"/>
      <c r="AJ86" s="111"/>
      <c r="AK86" s="111"/>
      <c r="AL86" s="111"/>
      <c r="AM86" s="111"/>
      <c r="AN86" s="111"/>
    </row>
    <row r="87" spans="1:40">
      <c r="A87" s="5"/>
      <c r="B87" s="148" t="s">
        <v>45</v>
      </c>
      <c r="C87" s="244">
        <f>$C$83*D79</f>
        <v>3142297.4999999995</v>
      </c>
      <c r="D87" s="240">
        <f>C87/$C$72</f>
        <v>1.3040081844380405</v>
      </c>
      <c r="E87" s="245">
        <f>D87/(($C$14/100)*1000)</f>
        <v>8.9931598926761419E-3</v>
      </c>
      <c r="F87" s="10"/>
      <c r="G87" s="10"/>
      <c r="H87" s="10"/>
      <c r="I87" s="10"/>
      <c r="J87" s="16"/>
      <c r="K87" s="16"/>
      <c r="L87" s="16"/>
      <c r="M87" s="8"/>
      <c r="N87" s="227"/>
      <c r="O87" s="227"/>
      <c r="P87" s="227"/>
      <c r="Z87" s="111"/>
      <c r="AA87" s="111"/>
      <c r="AB87" s="111"/>
      <c r="AC87" s="111"/>
      <c r="AD87" s="111"/>
      <c r="AE87" s="111"/>
      <c r="AF87" s="111"/>
      <c r="AG87" s="111"/>
      <c r="AH87" s="111"/>
      <c r="AI87" s="111"/>
      <c r="AJ87" s="111"/>
      <c r="AK87" s="111"/>
      <c r="AL87" s="111"/>
      <c r="AM87" s="111"/>
      <c r="AN87" s="111"/>
    </row>
    <row r="88" spans="1:40">
      <c r="A88" s="5"/>
      <c r="B88" s="246"/>
      <c r="C88" s="247"/>
      <c r="D88" s="248" t="s">
        <v>136</v>
      </c>
      <c r="E88" s="249">
        <f>SUM(E85:E87)</f>
        <v>5.3564503388651513E-2</v>
      </c>
      <c r="F88" s="10"/>
      <c r="G88" s="10"/>
      <c r="H88" s="10"/>
      <c r="I88" s="10"/>
      <c r="J88" s="16"/>
      <c r="K88" s="16"/>
      <c r="L88" s="16"/>
      <c r="M88" s="8"/>
      <c r="N88" s="227"/>
      <c r="O88" s="227"/>
      <c r="P88" s="227"/>
      <c r="Z88" s="111"/>
      <c r="AA88" s="111"/>
      <c r="AB88" s="111"/>
      <c r="AC88" s="111"/>
      <c r="AD88" s="111"/>
      <c r="AE88" s="111"/>
      <c r="AF88" s="111"/>
      <c r="AG88" s="111"/>
      <c r="AH88" s="111"/>
      <c r="AI88" s="111"/>
      <c r="AJ88" s="111"/>
      <c r="AK88" s="111"/>
      <c r="AL88" s="111"/>
      <c r="AM88" s="111"/>
      <c r="AN88" s="111"/>
    </row>
    <row r="89" spans="1:40">
      <c r="A89" s="5"/>
      <c r="B89" s="10"/>
      <c r="C89" s="10"/>
      <c r="D89" s="10"/>
      <c r="E89" s="10"/>
      <c r="F89" s="10"/>
      <c r="G89" s="10"/>
      <c r="H89" s="10"/>
      <c r="I89" s="10"/>
      <c r="J89" s="16"/>
      <c r="K89" s="16"/>
      <c r="L89" s="16"/>
      <c r="M89" s="8"/>
      <c r="N89" s="227"/>
      <c r="O89" s="227"/>
      <c r="P89" s="227"/>
      <c r="Z89" s="111"/>
      <c r="AA89" s="111"/>
      <c r="AB89" s="111"/>
      <c r="AC89" s="111"/>
      <c r="AD89" s="111"/>
      <c r="AE89" s="111"/>
      <c r="AF89" s="111"/>
      <c r="AG89" s="111"/>
      <c r="AH89" s="111"/>
      <c r="AI89" s="111"/>
      <c r="AJ89" s="111"/>
      <c r="AK89" s="111"/>
      <c r="AL89" s="111"/>
      <c r="AM89" s="111"/>
      <c r="AN89" s="111"/>
    </row>
    <row r="90" spans="1:40">
      <c r="A90" s="5"/>
      <c r="B90" s="80" t="s">
        <v>112</v>
      </c>
      <c r="C90" s="81"/>
      <c r="D90" s="82"/>
      <c r="E90" s="10"/>
      <c r="F90" s="10"/>
      <c r="G90" s="10"/>
      <c r="H90" s="10"/>
      <c r="I90" s="10"/>
      <c r="J90" s="16"/>
      <c r="K90" s="16"/>
      <c r="L90" s="16"/>
      <c r="M90" s="8"/>
      <c r="N90" s="227"/>
      <c r="O90" s="227"/>
      <c r="P90" s="227"/>
      <c r="Z90" s="111"/>
      <c r="AA90" s="111"/>
      <c r="AB90" s="111"/>
      <c r="AC90" s="111"/>
      <c r="AD90" s="111"/>
      <c r="AE90" s="111"/>
      <c r="AF90" s="111"/>
      <c r="AG90" s="111"/>
      <c r="AH90" s="111"/>
      <c r="AI90" s="111"/>
      <c r="AJ90" s="111"/>
      <c r="AK90" s="111"/>
      <c r="AL90" s="111"/>
      <c r="AM90" s="111"/>
      <c r="AN90" s="111"/>
    </row>
    <row r="91" spans="1:40">
      <c r="A91" s="5"/>
      <c r="B91" s="830" t="s">
        <v>240</v>
      </c>
      <c r="C91" s="828">
        <f>21336000*1.05</f>
        <v>22402800</v>
      </c>
      <c r="D91" s="282" t="s">
        <v>33</v>
      </c>
      <c r="E91" s="10"/>
      <c r="F91" s="10"/>
      <c r="G91" s="10"/>
      <c r="H91" s="10"/>
      <c r="I91" s="10"/>
      <c r="J91" s="16"/>
      <c r="K91" s="16"/>
      <c r="L91" s="16"/>
      <c r="M91" s="8"/>
      <c r="N91" s="227"/>
      <c r="O91" s="227"/>
      <c r="P91" s="227"/>
      <c r="Z91" s="111"/>
      <c r="AA91" s="111"/>
      <c r="AB91" s="111"/>
      <c r="AC91" s="111"/>
      <c r="AD91" s="111"/>
      <c r="AE91" s="111"/>
      <c r="AF91" s="111"/>
      <c r="AG91" s="111"/>
      <c r="AH91" s="111"/>
      <c r="AI91" s="111"/>
      <c r="AJ91" s="111"/>
      <c r="AK91" s="111"/>
      <c r="AL91" s="111"/>
      <c r="AM91" s="111"/>
      <c r="AN91" s="111"/>
    </row>
    <row r="92" spans="1:40">
      <c r="A92" s="5"/>
      <c r="B92" s="50" t="s">
        <v>137</v>
      </c>
      <c r="C92" s="283">
        <f>C91/C72</f>
        <v>9.2968391930835761</v>
      </c>
      <c r="D92" s="70" t="s">
        <v>206</v>
      </c>
      <c r="E92" s="10"/>
      <c r="F92" s="10"/>
      <c r="G92" s="10"/>
      <c r="H92" s="10"/>
      <c r="I92" s="10"/>
      <c r="J92" s="16"/>
      <c r="K92" s="16"/>
      <c r="L92" s="16"/>
      <c r="M92" s="8"/>
      <c r="N92" s="227"/>
      <c r="O92" s="227"/>
      <c r="P92" s="227"/>
      <c r="Z92" s="111"/>
      <c r="AA92" s="111"/>
      <c r="AB92" s="111"/>
      <c r="AC92" s="111"/>
      <c r="AD92" s="111"/>
      <c r="AE92" s="111"/>
      <c r="AF92" s="111"/>
      <c r="AG92" s="111"/>
      <c r="AH92" s="111"/>
      <c r="AI92" s="111"/>
      <c r="AJ92" s="111"/>
      <c r="AK92" s="111"/>
      <c r="AL92" s="111"/>
      <c r="AM92" s="111"/>
      <c r="AN92" s="111"/>
    </row>
    <row r="93" spans="1:40">
      <c r="A93" s="5"/>
      <c r="B93" s="280" t="s">
        <v>32</v>
      </c>
      <c r="C93" s="284">
        <f>C92/(($C$14/100)*1000)</f>
        <v>6.4116132366093634E-2</v>
      </c>
      <c r="D93" s="281" t="s">
        <v>3</v>
      </c>
      <c r="E93" s="10"/>
      <c r="F93" s="10"/>
      <c r="G93" s="10"/>
      <c r="H93" s="10"/>
      <c r="I93" s="10"/>
      <c r="J93" s="16"/>
      <c r="K93" s="16"/>
      <c r="L93" s="16"/>
      <c r="M93" s="8"/>
      <c r="N93" s="227"/>
      <c r="O93" s="227"/>
      <c r="P93" s="227"/>
      <c r="Z93" s="111"/>
      <c r="AA93" s="111"/>
      <c r="AB93" s="111"/>
      <c r="AC93" s="111"/>
      <c r="AD93" s="111"/>
      <c r="AE93" s="111"/>
      <c r="AF93" s="111"/>
      <c r="AG93" s="111"/>
      <c r="AH93" s="111"/>
      <c r="AI93" s="111"/>
      <c r="AJ93" s="111"/>
      <c r="AK93" s="111"/>
      <c r="AL93" s="111"/>
      <c r="AM93" s="111"/>
      <c r="AN93" s="111"/>
    </row>
    <row r="94" spans="1:40">
      <c r="A94" s="5"/>
      <c r="B94" s="10"/>
      <c r="C94" s="10"/>
      <c r="D94" s="10"/>
      <c r="E94" s="10"/>
      <c r="F94" s="10"/>
      <c r="G94" s="10"/>
      <c r="H94" s="10"/>
      <c r="I94" s="347"/>
      <c r="J94" s="16"/>
      <c r="K94" s="16"/>
      <c r="L94" s="16"/>
      <c r="M94" s="8"/>
      <c r="N94" s="227"/>
      <c r="O94" s="227"/>
      <c r="P94" s="227"/>
      <c r="Z94" s="111"/>
      <c r="AA94" s="111"/>
      <c r="AB94" s="111"/>
      <c r="AC94" s="111"/>
      <c r="AD94" s="111"/>
      <c r="AE94" s="111"/>
      <c r="AF94" s="111"/>
      <c r="AG94" s="111"/>
      <c r="AH94" s="111"/>
      <c r="AI94" s="111"/>
      <c r="AJ94" s="111"/>
      <c r="AK94" s="111"/>
      <c r="AL94" s="111"/>
      <c r="AM94" s="111"/>
      <c r="AN94" s="111"/>
    </row>
    <row r="95" spans="1:40">
      <c r="A95" s="5"/>
      <c r="B95" s="285" t="s">
        <v>82</v>
      </c>
      <c r="C95" s="286"/>
      <c r="D95" s="287"/>
      <c r="E95" s="10"/>
      <c r="F95" s="10"/>
      <c r="G95" s="10"/>
      <c r="H95" s="10"/>
      <c r="I95" s="348"/>
      <c r="J95" s="16"/>
      <c r="K95" s="16"/>
      <c r="L95" s="16"/>
      <c r="M95" s="8"/>
      <c r="N95" s="227"/>
      <c r="O95" s="227"/>
      <c r="P95" s="227"/>
      <c r="Z95" s="111"/>
      <c r="AA95" s="111"/>
      <c r="AB95" s="111"/>
      <c r="AC95" s="111"/>
      <c r="AD95" s="111"/>
      <c r="AE95" s="111"/>
      <c r="AF95" s="111"/>
      <c r="AG95" s="111"/>
      <c r="AH95" s="111"/>
      <c r="AI95" s="111"/>
      <c r="AJ95" s="111"/>
      <c r="AK95" s="111"/>
      <c r="AL95" s="111"/>
      <c r="AM95" s="111"/>
      <c r="AN95" s="111"/>
    </row>
    <row r="96" spans="1:40">
      <c r="A96" s="5"/>
      <c r="B96" s="288" t="s">
        <v>240</v>
      </c>
      <c r="C96" s="829">
        <v>10287000</v>
      </c>
      <c r="D96" s="289" t="s">
        <v>33</v>
      </c>
      <c r="E96" s="10"/>
      <c r="F96" s="10"/>
      <c r="G96" s="10"/>
      <c r="H96" s="10"/>
      <c r="I96" s="10"/>
      <c r="J96" s="16"/>
      <c r="K96" s="16"/>
      <c r="L96" s="16"/>
      <c r="M96" s="8"/>
      <c r="N96" s="227"/>
      <c r="O96" s="227"/>
      <c r="P96" s="227"/>
      <c r="Z96" s="111"/>
      <c r="AA96" s="111"/>
      <c r="AB96" s="111"/>
      <c r="AC96" s="111"/>
      <c r="AD96" s="111"/>
      <c r="AE96" s="111"/>
      <c r="AF96" s="111"/>
      <c r="AG96" s="111"/>
      <c r="AH96" s="111"/>
      <c r="AI96" s="111"/>
      <c r="AJ96" s="111"/>
      <c r="AK96" s="111"/>
      <c r="AL96" s="111"/>
      <c r="AM96" s="111"/>
      <c r="AN96" s="111"/>
    </row>
    <row r="97" spans="1:40">
      <c r="A97" s="5"/>
      <c r="B97" s="171" t="s">
        <v>137</v>
      </c>
      <c r="C97" s="169">
        <f>C96/C72</f>
        <v>4.2689567723342954</v>
      </c>
      <c r="D97" s="184" t="s">
        <v>206</v>
      </c>
      <c r="E97" s="10"/>
      <c r="F97" s="10"/>
      <c r="G97" s="10"/>
      <c r="H97" s="10"/>
      <c r="I97" s="10"/>
      <c r="J97" s="16"/>
      <c r="K97" s="16"/>
      <c r="L97" s="16"/>
      <c r="M97" s="8"/>
      <c r="N97" s="227"/>
      <c r="O97" s="227"/>
      <c r="P97" s="227"/>
      <c r="Z97" s="111"/>
      <c r="AA97" s="111"/>
      <c r="AB97" s="111"/>
      <c r="AC97" s="111"/>
      <c r="AD97" s="111"/>
      <c r="AE97" s="111"/>
      <c r="AF97" s="111"/>
      <c r="AG97" s="111"/>
      <c r="AH97" s="111"/>
      <c r="AI97" s="111"/>
      <c r="AJ97" s="111"/>
      <c r="AK97" s="111"/>
      <c r="AL97" s="111"/>
      <c r="AM97" s="111"/>
      <c r="AN97" s="111"/>
    </row>
    <row r="98" spans="1:40">
      <c r="A98" s="5"/>
      <c r="B98" s="290" t="s">
        <v>32</v>
      </c>
      <c r="C98" s="291">
        <f>C97/(($C$14/100)*1000)</f>
        <v>2.944108118851238E-2</v>
      </c>
      <c r="D98" s="292" t="s">
        <v>3</v>
      </c>
      <c r="E98" s="10"/>
      <c r="F98" s="10"/>
      <c r="G98" s="10"/>
      <c r="H98" s="10"/>
      <c r="I98" s="347"/>
      <c r="J98" s="16"/>
      <c r="K98" s="16"/>
      <c r="L98" s="16"/>
      <c r="M98" s="8"/>
      <c r="N98" s="227"/>
      <c r="O98" s="227"/>
      <c r="P98" s="227"/>
      <c r="Z98" s="111"/>
      <c r="AA98" s="111"/>
      <c r="AB98" s="111"/>
      <c r="AC98" s="111"/>
      <c r="AD98" s="111"/>
      <c r="AE98" s="111"/>
      <c r="AF98" s="111"/>
      <c r="AG98" s="111"/>
      <c r="AH98" s="111"/>
      <c r="AI98" s="111"/>
      <c r="AJ98" s="111"/>
      <c r="AK98" s="111"/>
      <c r="AL98" s="111"/>
      <c r="AM98" s="111"/>
      <c r="AN98" s="111"/>
    </row>
    <row r="99" spans="1:40">
      <c r="A99" s="5"/>
      <c r="G99" s="333"/>
      <c r="J99" s="16"/>
      <c r="Z99" s="111"/>
      <c r="AA99" s="111"/>
      <c r="AB99" s="111"/>
      <c r="AC99" s="111"/>
      <c r="AD99" s="111"/>
      <c r="AE99" s="111"/>
      <c r="AF99" s="111"/>
      <c r="AG99" s="111"/>
      <c r="AH99" s="111"/>
      <c r="AI99" s="111"/>
      <c r="AJ99" s="111"/>
      <c r="AK99" s="111"/>
      <c r="AL99" s="111"/>
      <c r="AM99" s="111"/>
      <c r="AN99" s="111"/>
    </row>
    <row r="100" spans="1:40">
      <c r="A100" s="5"/>
      <c r="B100" s="77" t="s">
        <v>37</v>
      </c>
      <c r="C100" s="78"/>
      <c r="D100" s="79"/>
      <c r="G100" s="333"/>
      <c r="Z100" s="111"/>
      <c r="AA100" s="111"/>
      <c r="AB100" s="111"/>
      <c r="AC100" s="111"/>
      <c r="AD100" s="111"/>
      <c r="AE100" s="111"/>
      <c r="AF100" s="111"/>
      <c r="AG100" s="111"/>
      <c r="AH100" s="111"/>
      <c r="AI100" s="111"/>
      <c r="AJ100" s="111"/>
      <c r="AK100" s="111"/>
      <c r="AL100" s="111"/>
      <c r="AM100" s="111"/>
      <c r="AN100" s="111"/>
    </row>
    <row r="101" spans="1:40">
      <c r="A101" s="5"/>
      <c r="B101" s="60" t="s">
        <v>90</v>
      </c>
      <c r="C101" s="71">
        <v>347</v>
      </c>
      <c r="D101" s="72" t="s">
        <v>24</v>
      </c>
      <c r="G101" s="333"/>
      <c r="Z101" s="111"/>
      <c r="AA101" s="111"/>
      <c r="AB101" s="111"/>
      <c r="AC101" s="111"/>
      <c r="AD101" s="111"/>
      <c r="AE101" s="111"/>
      <c r="AF101" s="111"/>
      <c r="AG101" s="111"/>
      <c r="AH101" s="111"/>
      <c r="AI101" s="111"/>
      <c r="AJ101" s="111"/>
      <c r="AK101" s="111"/>
      <c r="AL101" s="111"/>
      <c r="AM101" s="111"/>
      <c r="AN101" s="111"/>
    </row>
    <row r="102" spans="1:40">
      <c r="A102" s="5"/>
      <c r="B102" s="60" t="s">
        <v>130</v>
      </c>
      <c r="C102" s="71">
        <v>14.4</v>
      </c>
      <c r="D102" s="72" t="s">
        <v>31</v>
      </c>
      <c r="Z102" s="111"/>
      <c r="AA102" s="111"/>
      <c r="AB102" s="111"/>
      <c r="AC102" s="111"/>
      <c r="AD102" s="111"/>
      <c r="AE102" s="111"/>
      <c r="AF102" s="111"/>
      <c r="AG102" s="111"/>
      <c r="AH102" s="111"/>
      <c r="AI102" s="111"/>
      <c r="AJ102" s="111"/>
      <c r="AK102" s="111"/>
      <c r="AL102" s="111"/>
      <c r="AM102" s="111"/>
      <c r="AN102" s="111"/>
    </row>
    <row r="103" spans="1:40">
      <c r="A103" s="5"/>
      <c r="B103" s="60" t="s">
        <v>52</v>
      </c>
      <c r="C103" s="71">
        <f>1000*C102/100*0.156^2</f>
        <v>3.5043839999999999</v>
      </c>
      <c r="D103" s="72" t="s">
        <v>4</v>
      </c>
      <c r="Z103" s="111"/>
      <c r="AA103" s="111"/>
      <c r="AB103" s="111"/>
      <c r="AC103" s="111"/>
      <c r="AD103" s="111"/>
      <c r="AE103" s="111"/>
      <c r="AF103" s="111"/>
      <c r="AG103" s="111"/>
      <c r="AH103" s="111"/>
      <c r="AI103" s="111"/>
      <c r="AJ103" s="111"/>
      <c r="AK103" s="111"/>
      <c r="AL103" s="111"/>
      <c r="AM103" s="111"/>
      <c r="AN103" s="111"/>
    </row>
    <row r="104" spans="1:40">
      <c r="A104" s="5"/>
      <c r="B104" s="60" t="s">
        <v>30</v>
      </c>
      <c r="C104" s="228">
        <f>C101*10^6/(C102/100*1000)</f>
        <v>2409722.2222222215</v>
      </c>
      <c r="D104" s="72" t="s">
        <v>34</v>
      </c>
      <c r="Z104" s="111"/>
      <c r="AA104" s="111"/>
      <c r="AB104" s="111"/>
      <c r="AC104" s="111"/>
      <c r="AD104" s="111"/>
      <c r="AE104" s="111"/>
      <c r="AF104" s="111"/>
      <c r="AG104" s="111"/>
      <c r="AH104" s="111"/>
      <c r="AI104" s="111"/>
      <c r="AJ104" s="111"/>
      <c r="AK104" s="111"/>
      <c r="AL104" s="111"/>
      <c r="AM104" s="111"/>
      <c r="AN104" s="111"/>
    </row>
    <row r="105" spans="1:40">
      <c r="A105" s="5"/>
      <c r="B105" s="60" t="s">
        <v>91</v>
      </c>
      <c r="C105" s="188">
        <v>360</v>
      </c>
      <c r="D105" s="72" t="s">
        <v>95</v>
      </c>
      <c r="F105" s="401"/>
      <c r="Z105" s="111"/>
      <c r="AA105" s="111"/>
      <c r="AB105" s="12"/>
      <c r="AC105" s="111"/>
      <c r="AD105" s="111"/>
      <c r="AE105" s="111"/>
      <c r="AF105" s="111"/>
      <c r="AG105" s="111"/>
      <c r="AH105" s="111"/>
      <c r="AI105" s="111"/>
      <c r="AJ105" s="111"/>
      <c r="AK105" s="111"/>
      <c r="AL105" s="111"/>
      <c r="AM105" s="111"/>
      <c r="AN105" s="111"/>
    </row>
    <row r="106" spans="1:40">
      <c r="A106" s="5"/>
      <c r="B106" s="60" t="s">
        <v>92</v>
      </c>
      <c r="C106" s="188">
        <v>150</v>
      </c>
      <c r="D106" s="72" t="s">
        <v>95</v>
      </c>
      <c r="F106" s="401"/>
      <c r="Z106" s="111"/>
      <c r="AA106" s="111"/>
      <c r="AB106" s="111"/>
      <c r="AC106" s="111"/>
      <c r="AD106" s="111"/>
      <c r="AE106" s="111"/>
      <c r="AF106" s="111"/>
      <c r="AG106" s="111"/>
      <c r="AH106" s="111"/>
      <c r="AI106" s="111"/>
      <c r="AJ106" s="111"/>
      <c r="AK106" s="111"/>
      <c r="AL106" s="111"/>
      <c r="AM106" s="111"/>
      <c r="AN106" s="111"/>
    </row>
    <row r="107" spans="1:40">
      <c r="A107" s="5"/>
      <c r="B107" s="60" t="s">
        <v>93</v>
      </c>
      <c r="C107" s="188">
        <v>250</v>
      </c>
      <c r="D107" s="72" t="s">
        <v>95</v>
      </c>
      <c r="F107" s="401"/>
      <c r="Z107" s="111"/>
      <c r="AA107" s="111"/>
      <c r="AB107" s="111"/>
      <c r="AC107" s="111"/>
      <c r="AD107" s="111"/>
      <c r="AE107" s="111"/>
      <c r="AF107" s="111"/>
      <c r="AG107" s="111"/>
      <c r="AH107" s="111"/>
      <c r="AI107" s="111"/>
      <c r="AJ107" s="111"/>
      <c r="AK107" s="111"/>
      <c r="AL107" s="111"/>
      <c r="AM107" s="111"/>
      <c r="AN107" s="111"/>
    </row>
    <row r="108" spans="1:40">
      <c r="A108" s="5"/>
      <c r="B108" s="60" t="s">
        <v>94</v>
      </c>
      <c r="C108" s="188">
        <v>250</v>
      </c>
      <c r="D108" s="72" t="s">
        <v>95</v>
      </c>
      <c r="L108" s="1"/>
      <c r="Z108" s="111"/>
      <c r="AA108" s="111"/>
      <c r="AB108" s="111"/>
      <c r="AC108" s="111"/>
      <c r="AD108" s="111"/>
      <c r="AE108" s="111"/>
      <c r="AF108" s="111"/>
      <c r="AG108" s="111"/>
      <c r="AH108" s="111"/>
      <c r="AI108" s="111"/>
      <c r="AJ108" s="111"/>
      <c r="AK108" s="111"/>
      <c r="AL108" s="111"/>
      <c r="AM108" s="111"/>
      <c r="AN108" s="111"/>
    </row>
    <row r="109" spans="1:40">
      <c r="A109" s="5"/>
      <c r="B109" s="60" t="s">
        <v>207</v>
      </c>
      <c r="C109" s="71">
        <f>SUM(C105:C108)/C101</f>
        <v>2.9106628242074928</v>
      </c>
      <c r="D109" s="388" t="s">
        <v>210</v>
      </c>
      <c r="L109" s="1"/>
      <c r="Z109" s="111"/>
      <c r="AA109" s="111"/>
      <c r="AB109" s="111"/>
      <c r="AC109" s="111"/>
      <c r="AD109" s="111"/>
      <c r="AE109" s="111"/>
      <c r="AF109" s="111"/>
      <c r="AG109" s="111"/>
      <c r="AH109" s="111"/>
      <c r="AI109" s="111"/>
      <c r="AJ109" s="111"/>
      <c r="AK109" s="111"/>
      <c r="AL109" s="111"/>
      <c r="AM109" s="111"/>
      <c r="AN109" s="111"/>
    </row>
    <row r="110" spans="1:40">
      <c r="A110" s="5"/>
      <c r="B110" s="60" t="s">
        <v>96</v>
      </c>
      <c r="C110" s="71">
        <f>44*51</f>
        <v>2244</v>
      </c>
      <c r="D110" s="72" t="s">
        <v>97</v>
      </c>
      <c r="Z110" s="111"/>
      <c r="AA110" s="111"/>
      <c r="AB110" s="111"/>
      <c r="AC110" s="111"/>
      <c r="AD110" s="111"/>
      <c r="AE110" s="111"/>
      <c r="AF110" s="111"/>
      <c r="AG110" s="111"/>
      <c r="AH110" s="111"/>
      <c r="AI110" s="111"/>
      <c r="AJ110" s="111"/>
      <c r="AK110" s="111"/>
      <c r="AL110" s="111"/>
      <c r="AM110" s="111"/>
      <c r="AN110" s="111"/>
    </row>
    <row r="111" spans="1:40">
      <c r="A111" s="5"/>
      <c r="B111" s="60" t="s">
        <v>102</v>
      </c>
      <c r="C111" s="71">
        <f>(C105+C106)*C110/C104</f>
        <v>0.47492610951008657</v>
      </c>
      <c r="D111" s="72" t="s">
        <v>98</v>
      </c>
      <c r="Z111" s="111"/>
      <c r="AA111" s="111"/>
      <c r="AB111" s="111"/>
      <c r="AC111" s="111"/>
      <c r="AD111" s="111"/>
      <c r="AE111" s="111"/>
      <c r="AF111" s="111"/>
      <c r="AG111" s="111"/>
      <c r="AH111" s="111"/>
      <c r="AI111" s="111"/>
      <c r="AJ111" s="111"/>
      <c r="AK111" s="111"/>
      <c r="AL111" s="111"/>
      <c r="AM111" s="111"/>
      <c r="AN111" s="111"/>
    </row>
    <row r="112" spans="1:40">
      <c r="A112" s="5"/>
      <c r="B112" s="60" t="s">
        <v>103</v>
      </c>
      <c r="C112" s="71">
        <f>C107*C110/C104</f>
        <v>0.23280691642651302</v>
      </c>
      <c r="D112" s="72" t="s">
        <v>98</v>
      </c>
      <c r="Z112" s="111"/>
      <c r="AA112" s="111"/>
      <c r="AB112" s="111"/>
      <c r="AC112" s="111"/>
      <c r="AD112" s="111"/>
      <c r="AE112" s="111"/>
      <c r="AF112" s="111"/>
      <c r="AG112" s="111"/>
      <c r="AH112" s="111"/>
      <c r="AI112" s="111"/>
      <c r="AJ112" s="111"/>
      <c r="AK112" s="111"/>
      <c r="AL112" s="111"/>
      <c r="AM112" s="111"/>
      <c r="AN112" s="111"/>
    </row>
    <row r="113" spans="1:40">
      <c r="A113" s="5"/>
      <c r="B113" s="60" t="s">
        <v>104</v>
      </c>
      <c r="C113" s="71">
        <f>C108*C110/C104</f>
        <v>0.23280691642651302</v>
      </c>
      <c r="D113" s="72" t="s">
        <v>98</v>
      </c>
      <c r="Z113" s="111"/>
      <c r="AA113" s="111"/>
      <c r="AB113" s="111"/>
      <c r="AC113" s="111"/>
      <c r="AD113" s="111"/>
      <c r="AE113" s="111"/>
      <c r="AF113" s="111"/>
      <c r="AG113" s="111"/>
      <c r="AH113" s="111"/>
      <c r="AI113" s="111"/>
      <c r="AJ113" s="111"/>
      <c r="AK113" s="111"/>
      <c r="AL113" s="111"/>
      <c r="AM113" s="111"/>
      <c r="AN113" s="111"/>
    </row>
    <row r="114" spans="1:40">
      <c r="A114" s="5"/>
      <c r="B114" s="60" t="s">
        <v>99</v>
      </c>
      <c r="C114" s="71">
        <f>C111*C18</f>
        <v>9.9425781025936626</v>
      </c>
      <c r="D114" s="72" t="s">
        <v>35</v>
      </c>
      <c r="Z114" s="111"/>
      <c r="AA114" s="111"/>
      <c r="AB114" s="111"/>
      <c r="AC114" s="111"/>
      <c r="AD114" s="111"/>
      <c r="AE114" s="111"/>
      <c r="AF114" s="111"/>
      <c r="AG114" s="111"/>
      <c r="AH114" s="111"/>
      <c r="AI114" s="111"/>
      <c r="AJ114" s="111"/>
      <c r="AK114" s="111"/>
      <c r="AL114" s="111"/>
      <c r="AM114" s="111"/>
      <c r="AN114" s="111"/>
    </row>
    <row r="115" spans="1:40">
      <c r="A115" s="5"/>
      <c r="B115" s="60" t="s">
        <v>100</v>
      </c>
      <c r="C115" s="71">
        <f>C112*C18</f>
        <v>4.8738127953890498</v>
      </c>
      <c r="D115" s="72" t="s">
        <v>35</v>
      </c>
      <c r="Z115" s="111"/>
      <c r="AA115" s="111"/>
      <c r="AB115" s="111"/>
      <c r="AC115" s="111"/>
      <c r="AD115" s="111"/>
      <c r="AE115" s="111"/>
      <c r="AF115" s="111"/>
      <c r="AG115" s="111"/>
      <c r="AH115" s="111"/>
      <c r="AI115" s="111"/>
      <c r="AJ115" s="111"/>
      <c r="AK115" s="111"/>
      <c r="AL115" s="111"/>
      <c r="AM115" s="111"/>
      <c r="AN115" s="111"/>
    </row>
    <row r="116" spans="1:40">
      <c r="A116" s="5"/>
      <c r="B116" s="60" t="s">
        <v>101</v>
      </c>
      <c r="C116" s="71">
        <f>C113*C18</f>
        <v>4.8738127953890498</v>
      </c>
      <c r="D116" s="72" t="s">
        <v>35</v>
      </c>
      <c r="Z116" s="111"/>
      <c r="AA116" s="111"/>
      <c r="AB116" s="111"/>
      <c r="AC116" s="111"/>
      <c r="AD116" s="111"/>
      <c r="AE116" s="111"/>
      <c r="AF116" s="111"/>
      <c r="AG116" s="111"/>
      <c r="AH116" s="111"/>
      <c r="AI116" s="111"/>
      <c r="AJ116" s="111"/>
      <c r="AK116" s="111"/>
      <c r="AL116" s="111"/>
      <c r="AM116" s="111"/>
      <c r="AN116" s="111"/>
    </row>
    <row r="117" spans="1:40">
      <c r="A117" s="5"/>
      <c r="B117" s="60" t="s">
        <v>140</v>
      </c>
      <c r="C117" s="71">
        <f>1000*C14/100</f>
        <v>145</v>
      </c>
      <c r="D117" s="72" t="s">
        <v>105</v>
      </c>
      <c r="Z117" s="111"/>
      <c r="AA117" s="111"/>
      <c r="AB117" s="111"/>
      <c r="AC117" s="111"/>
      <c r="AD117" s="111"/>
      <c r="AE117" s="111"/>
      <c r="AF117" s="111"/>
      <c r="AG117" s="111"/>
      <c r="AH117" s="111"/>
      <c r="AI117" s="111"/>
      <c r="AJ117" s="111"/>
      <c r="AK117" s="111"/>
      <c r="AL117" s="111"/>
      <c r="AM117" s="111"/>
      <c r="AN117" s="111"/>
    </row>
    <row r="118" spans="1:40">
      <c r="A118" s="5"/>
      <c r="B118" s="189" t="s">
        <v>106</v>
      </c>
      <c r="C118" s="194">
        <f>C114/C117</f>
        <v>6.8569504155818362E-2</v>
      </c>
      <c r="D118" s="190" t="s">
        <v>3</v>
      </c>
      <c r="Z118" s="111"/>
      <c r="AA118" s="111"/>
      <c r="AB118" s="111"/>
      <c r="AC118" s="111"/>
      <c r="AD118" s="111"/>
      <c r="AE118" s="111"/>
      <c r="AF118" s="111"/>
      <c r="AG118" s="111"/>
      <c r="AH118" s="111"/>
      <c r="AI118" s="111"/>
      <c r="AJ118" s="111"/>
      <c r="AK118" s="111"/>
      <c r="AL118" s="111"/>
      <c r="AM118" s="111"/>
      <c r="AN118" s="111"/>
    </row>
    <row r="119" spans="1:40">
      <c r="A119" s="5"/>
      <c r="B119" s="189" t="s">
        <v>107</v>
      </c>
      <c r="C119" s="194">
        <f>C115/C117</f>
        <v>3.3612502037165863E-2</v>
      </c>
      <c r="D119" s="190" t="s">
        <v>3</v>
      </c>
      <c r="Z119" s="111"/>
      <c r="AA119" s="111"/>
      <c r="AB119" s="111"/>
      <c r="AC119" s="111"/>
      <c r="AD119" s="111"/>
      <c r="AE119" s="111"/>
      <c r="AF119" s="111"/>
      <c r="AG119" s="111"/>
      <c r="AH119" s="111"/>
      <c r="AI119" s="111"/>
      <c r="AJ119" s="111"/>
      <c r="AK119" s="111"/>
      <c r="AL119" s="111"/>
      <c r="AM119" s="111"/>
      <c r="AN119" s="111"/>
    </row>
    <row r="120" spans="1:40">
      <c r="A120" s="5"/>
      <c r="B120" s="189" t="s">
        <v>108</v>
      </c>
      <c r="C120" s="194">
        <f>C116/C117</f>
        <v>3.3612502037165863E-2</v>
      </c>
      <c r="D120" s="190" t="s">
        <v>3</v>
      </c>
      <c r="Z120" s="111"/>
      <c r="AA120" s="111"/>
      <c r="AB120" s="111"/>
      <c r="AC120" s="111"/>
      <c r="AD120" s="111"/>
      <c r="AE120" s="111"/>
      <c r="AF120" s="111"/>
      <c r="AG120" s="111"/>
      <c r="AH120" s="111"/>
      <c r="AI120" s="111"/>
      <c r="AJ120" s="111"/>
      <c r="AK120" s="111"/>
      <c r="AL120" s="111"/>
      <c r="AM120" s="111"/>
      <c r="AN120" s="111"/>
    </row>
    <row r="121" spans="1:40">
      <c r="A121" s="5"/>
      <c r="B121" s="112" t="s">
        <v>53</v>
      </c>
      <c r="C121" s="195">
        <f>SUM(C118:C120)</f>
        <v>0.1357945082301501</v>
      </c>
      <c r="D121" s="113" t="s">
        <v>3</v>
      </c>
      <c r="F121" s="3"/>
      <c r="H121" s="3"/>
      <c r="Z121" s="111"/>
      <c r="AA121" s="111"/>
      <c r="AB121" s="111"/>
      <c r="AC121" s="111"/>
      <c r="AD121" s="111"/>
      <c r="AE121" s="111"/>
      <c r="AF121" s="111"/>
      <c r="AG121" s="111"/>
      <c r="AH121" s="111"/>
      <c r="AI121" s="111"/>
      <c r="AJ121" s="111"/>
      <c r="AK121" s="111"/>
      <c r="AL121" s="111"/>
      <c r="AM121" s="111"/>
      <c r="AN121" s="111"/>
    </row>
    <row r="122" spans="1:40">
      <c r="A122" s="5"/>
      <c r="Z122" s="111"/>
      <c r="AA122" s="111"/>
      <c r="AB122" s="111"/>
      <c r="AC122" s="111"/>
      <c r="AD122" s="111"/>
      <c r="AE122" s="111"/>
      <c r="AF122" s="111"/>
      <c r="AG122" s="111"/>
      <c r="AH122" s="111"/>
      <c r="AI122" s="111"/>
      <c r="AJ122" s="111"/>
      <c r="AK122" s="111"/>
      <c r="AL122" s="111"/>
      <c r="AM122" s="111"/>
      <c r="AN122" s="111"/>
    </row>
    <row r="123" spans="1:40">
      <c r="A123" s="5"/>
      <c r="B123" s="74" t="s">
        <v>28</v>
      </c>
      <c r="C123" s="75"/>
      <c r="D123" s="76"/>
      <c r="Z123" s="111"/>
      <c r="AA123" s="111"/>
      <c r="AB123" s="111"/>
      <c r="AC123" s="111"/>
      <c r="AD123" s="111"/>
      <c r="AE123" s="111"/>
      <c r="AF123" s="111"/>
      <c r="AG123" s="111"/>
      <c r="AH123" s="111"/>
      <c r="AI123" s="111"/>
      <c r="AJ123" s="111"/>
      <c r="AK123" s="111"/>
      <c r="AL123" s="111"/>
      <c r="AM123" s="111"/>
      <c r="AN123" s="111"/>
    </row>
    <row r="124" spans="1:40">
      <c r="A124" s="5"/>
      <c r="B124" s="46" t="s">
        <v>130</v>
      </c>
      <c r="C124" s="387">
        <v>14.4</v>
      </c>
      <c r="D124" s="73" t="s">
        <v>1</v>
      </c>
      <c r="Z124" s="111"/>
      <c r="AA124" s="111"/>
      <c r="AB124" s="111"/>
      <c r="AC124" s="111"/>
      <c r="AD124" s="111"/>
      <c r="AE124" s="111"/>
      <c r="AF124" s="111"/>
      <c r="AG124" s="111"/>
      <c r="AH124" s="111"/>
      <c r="AI124" s="111"/>
      <c r="AJ124" s="111"/>
      <c r="AK124" s="111"/>
      <c r="AL124" s="111"/>
      <c r="AM124" s="111"/>
      <c r="AN124" s="111"/>
    </row>
    <row r="125" spans="1:40">
      <c r="A125" s="5"/>
      <c r="B125" s="46" t="s">
        <v>212</v>
      </c>
      <c r="C125" s="387">
        <v>25.9</v>
      </c>
      <c r="D125" s="73" t="s">
        <v>86</v>
      </c>
      <c r="Z125" s="111"/>
      <c r="AA125" s="111"/>
      <c r="AB125" s="111"/>
      <c r="AC125" s="111"/>
      <c r="AD125" s="111"/>
      <c r="AE125" s="111"/>
      <c r="AF125" s="111"/>
      <c r="AG125" s="111"/>
      <c r="AH125" s="111"/>
      <c r="AI125" s="111"/>
      <c r="AJ125" s="111"/>
      <c r="AK125" s="111"/>
      <c r="AL125" s="111"/>
      <c r="AM125" s="111"/>
      <c r="AN125" s="111"/>
    </row>
    <row r="126" spans="1:40">
      <c r="A126" s="5"/>
      <c r="B126" s="46" t="s">
        <v>212</v>
      </c>
      <c r="C126" s="165">
        <f>C125*C66*C54*(1/C57)</f>
        <v>0.14809870068965519</v>
      </c>
      <c r="D126" s="73" t="s">
        <v>25</v>
      </c>
      <c r="Z126" s="111"/>
      <c r="AA126" s="111"/>
      <c r="AB126" s="111"/>
      <c r="AC126" s="111"/>
      <c r="AD126" s="111"/>
      <c r="AE126" s="111"/>
      <c r="AF126" s="111"/>
      <c r="AG126" s="111"/>
      <c r="AH126" s="111"/>
      <c r="AI126" s="111"/>
      <c r="AJ126" s="111"/>
      <c r="AK126" s="111"/>
      <c r="AL126" s="111"/>
      <c r="AM126" s="111"/>
      <c r="AN126" s="111"/>
    </row>
    <row r="127" spans="1:40">
      <c r="A127" s="5"/>
      <c r="B127" s="46" t="s">
        <v>213</v>
      </c>
      <c r="C127" s="165">
        <v>0.2</v>
      </c>
      <c r="D127" s="73" t="s">
        <v>25</v>
      </c>
      <c r="E127" s="1"/>
      <c r="Z127" s="111"/>
      <c r="AA127" s="111"/>
      <c r="AB127" s="111"/>
      <c r="AC127" s="111"/>
      <c r="AD127" s="111"/>
      <c r="AE127" s="111"/>
      <c r="AF127" s="111"/>
      <c r="AG127" s="111"/>
      <c r="AH127" s="111"/>
      <c r="AI127" s="111"/>
      <c r="AJ127" s="111"/>
      <c r="AK127" s="111"/>
      <c r="AL127" s="111"/>
      <c r="AM127" s="111"/>
      <c r="AN127" s="111"/>
    </row>
    <row r="128" spans="1:40">
      <c r="A128" s="5"/>
      <c r="B128" s="46" t="s">
        <v>214</v>
      </c>
      <c r="C128" s="165">
        <v>0.34</v>
      </c>
      <c r="D128" s="73" t="s">
        <v>25</v>
      </c>
      <c r="E128" s="1"/>
      <c r="Z128" s="111"/>
      <c r="AA128" s="111"/>
      <c r="AB128" s="111"/>
      <c r="AC128" s="111"/>
      <c r="AD128" s="111"/>
      <c r="AE128" s="111"/>
      <c r="AF128" s="111"/>
      <c r="AG128" s="111"/>
      <c r="AH128" s="111"/>
      <c r="AI128" s="111"/>
      <c r="AJ128" s="111"/>
      <c r="AK128" s="111"/>
      <c r="AL128" s="111"/>
      <c r="AM128" s="111"/>
      <c r="AN128" s="111"/>
    </row>
    <row r="129" spans="1:40">
      <c r="A129" s="5"/>
      <c r="B129" s="46" t="s">
        <v>215</v>
      </c>
      <c r="C129" s="165">
        <v>0.05</v>
      </c>
      <c r="D129" s="73" t="s">
        <v>25</v>
      </c>
      <c r="E129" s="1"/>
      <c r="Z129" s="111"/>
      <c r="AA129" s="111"/>
      <c r="AB129" s="111"/>
      <c r="AC129" s="111"/>
      <c r="AD129" s="111"/>
      <c r="AE129" s="111"/>
      <c r="AF129" s="111"/>
      <c r="AG129" s="111"/>
      <c r="AH129" s="111"/>
      <c r="AI129" s="111"/>
      <c r="AJ129" s="111"/>
      <c r="AK129" s="111"/>
      <c r="AL129" s="111"/>
      <c r="AM129" s="111"/>
      <c r="AN129" s="111"/>
    </row>
    <row r="130" spans="1:40">
      <c r="A130" s="5"/>
      <c r="B130" s="191" t="s">
        <v>87</v>
      </c>
      <c r="C130" s="192">
        <f>C19*(C126+C127)*(C124/C14)</f>
        <v>2.4198861399667065E-2</v>
      </c>
      <c r="D130" s="193" t="s">
        <v>0</v>
      </c>
      <c r="Z130" s="111"/>
      <c r="AA130" s="111"/>
      <c r="AB130" s="111"/>
      <c r="AC130" s="111"/>
      <c r="AD130" s="111"/>
      <c r="AE130" s="111"/>
      <c r="AF130" s="111"/>
      <c r="AG130" s="111"/>
      <c r="AH130" s="111"/>
      <c r="AI130" s="111"/>
      <c r="AJ130" s="111"/>
      <c r="AK130" s="111"/>
      <c r="AL130" s="111"/>
      <c r="AM130" s="111"/>
      <c r="AN130" s="111"/>
    </row>
    <row r="131" spans="1:40">
      <c r="A131" s="5"/>
      <c r="B131" s="191" t="s">
        <v>89</v>
      </c>
      <c r="C131" s="192">
        <f>C19*C128*(C124/C14)</f>
        <v>2.3635862068965521E-2</v>
      </c>
      <c r="D131" s="193" t="s">
        <v>0</v>
      </c>
      <c r="Z131" s="111"/>
      <c r="AA131" s="111"/>
      <c r="AB131" s="111"/>
      <c r="AC131" s="111"/>
      <c r="AD131" s="111"/>
      <c r="AE131" s="111"/>
      <c r="AF131" s="111"/>
      <c r="AG131" s="111"/>
      <c r="AH131" s="111"/>
      <c r="AI131" s="111"/>
      <c r="AJ131" s="111"/>
      <c r="AK131" s="111"/>
      <c r="AL131" s="111"/>
      <c r="AM131" s="111"/>
      <c r="AN131" s="111"/>
    </row>
    <row r="132" spans="1:40">
      <c r="A132" s="5"/>
      <c r="B132" s="191" t="s">
        <v>141</v>
      </c>
      <c r="C132" s="192">
        <f>C19*C129*(C124/C14)</f>
        <v>3.4758620689655179E-3</v>
      </c>
      <c r="D132" s="193" t="s">
        <v>0</v>
      </c>
      <c r="Z132" s="111"/>
      <c r="AA132" s="111"/>
      <c r="AB132" s="111"/>
      <c r="AC132" s="111"/>
      <c r="AD132" s="111"/>
      <c r="AE132" s="111"/>
      <c r="AF132" s="111"/>
      <c r="AG132" s="111"/>
      <c r="AH132" s="111"/>
      <c r="AI132" s="111"/>
      <c r="AJ132" s="111"/>
      <c r="AK132" s="111"/>
      <c r="AL132" s="111"/>
      <c r="AM132" s="111"/>
      <c r="AN132" s="111"/>
    </row>
    <row r="133" spans="1:40">
      <c r="A133" s="5"/>
      <c r="B133" s="114" t="s">
        <v>88</v>
      </c>
      <c r="C133" s="185">
        <f>SUM(C130:C132)</f>
        <v>5.1310585537598104E-2</v>
      </c>
      <c r="D133" s="115" t="s">
        <v>0</v>
      </c>
      <c r="Z133" s="111"/>
      <c r="AA133" s="111"/>
      <c r="AB133" s="111"/>
      <c r="AC133" s="111"/>
      <c r="AD133" s="111"/>
      <c r="AE133" s="111"/>
      <c r="AF133" s="111"/>
      <c r="AG133" s="111"/>
      <c r="AH133" s="111"/>
      <c r="AI133" s="111"/>
      <c r="AJ133" s="111"/>
      <c r="AK133" s="111"/>
      <c r="AL133" s="111"/>
      <c r="AM133" s="111"/>
      <c r="AN133" s="111"/>
    </row>
    <row r="134" spans="1:40">
      <c r="A134" s="5"/>
      <c r="F134" s="3"/>
      <c r="Z134" s="111"/>
      <c r="AA134" s="111"/>
      <c r="AB134" s="111"/>
      <c r="AC134" s="111"/>
      <c r="AD134" s="111"/>
      <c r="AE134" s="111"/>
      <c r="AF134" s="111"/>
      <c r="AG134" s="111"/>
      <c r="AH134" s="111"/>
      <c r="AI134" s="111"/>
      <c r="AJ134" s="111"/>
      <c r="AK134" s="111"/>
      <c r="AL134" s="111"/>
      <c r="AM134" s="111"/>
      <c r="AN134" s="111"/>
    </row>
    <row r="135" spans="1:40">
      <c r="A135" s="5"/>
      <c r="B135" s="88" t="s">
        <v>38</v>
      </c>
      <c r="C135" s="89"/>
      <c r="D135" s="90"/>
      <c r="Z135" s="111"/>
      <c r="AA135" s="111"/>
      <c r="AB135" s="111"/>
      <c r="AC135" s="111"/>
      <c r="AD135" s="111"/>
      <c r="AE135" s="111"/>
      <c r="AF135" s="111"/>
      <c r="AG135" s="111"/>
      <c r="AH135" s="111"/>
      <c r="AI135" s="111"/>
      <c r="AJ135" s="111"/>
      <c r="AK135" s="111"/>
      <c r="AL135" s="111"/>
      <c r="AM135" s="111"/>
      <c r="AN135" s="111"/>
    </row>
    <row r="136" spans="1:40">
      <c r="A136" s="5"/>
      <c r="B136" s="64" t="s">
        <v>113</v>
      </c>
      <c r="C136" s="87">
        <v>0.95</v>
      </c>
      <c r="D136" s="86" t="s">
        <v>31</v>
      </c>
      <c r="Z136" s="111"/>
      <c r="AA136" s="111"/>
      <c r="AB136" s="111"/>
      <c r="AC136" s="111"/>
      <c r="AD136" s="111"/>
      <c r="AE136" s="111"/>
      <c r="AF136" s="111"/>
      <c r="AG136" s="111"/>
      <c r="AH136" s="111"/>
      <c r="AI136" s="111"/>
      <c r="AJ136" s="111"/>
      <c r="AK136" s="111"/>
      <c r="AL136" s="111"/>
      <c r="AM136" s="111"/>
      <c r="AN136" s="111"/>
    </row>
    <row r="137" spans="1:40">
      <c r="A137" s="5"/>
      <c r="B137" s="64" t="s">
        <v>114</v>
      </c>
      <c r="C137" s="87">
        <f>0.965*1</f>
        <v>0.96499999999999997</v>
      </c>
      <c r="D137" s="86" t="s">
        <v>31</v>
      </c>
      <c r="Z137" s="111"/>
      <c r="AA137" s="111"/>
      <c r="AB137" s="111"/>
      <c r="AC137" s="111"/>
      <c r="AD137" s="111"/>
      <c r="AE137" s="111"/>
      <c r="AF137" s="111"/>
      <c r="AG137" s="111"/>
      <c r="AH137" s="111"/>
      <c r="AI137" s="111"/>
      <c r="AJ137" s="111"/>
      <c r="AK137" s="111"/>
      <c r="AL137" s="111"/>
      <c r="AM137" s="111"/>
      <c r="AN137" s="111"/>
    </row>
    <row r="138" spans="1:40">
      <c r="A138" s="5"/>
      <c r="B138" s="64" t="s">
        <v>115</v>
      </c>
      <c r="C138" s="87">
        <f>0.98*1</f>
        <v>0.98</v>
      </c>
      <c r="D138" s="86" t="s">
        <v>31</v>
      </c>
      <c r="Z138" s="111"/>
      <c r="AA138" s="111"/>
      <c r="AB138" s="111"/>
      <c r="AC138" s="111"/>
      <c r="AD138" s="111"/>
      <c r="AE138" s="111"/>
      <c r="AF138" s="111"/>
      <c r="AG138" s="111"/>
      <c r="AH138" s="111"/>
      <c r="AI138" s="111"/>
      <c r="AJ138" s="111"/>
      <c r="AK138" s="111"/>
      <c r="AL138" s="111"/>
      <c r="AM138" s="111"/>
      <c r="AN138" s="111"/>
    </row>
    <row r="139" spans="1:40">
      <c r="A139" s="5"/>
      <c r="B139" s="64" t="s">
        <v>123</v>
      </c>
      <c r="C139" s="87">
        <v>1</v>
      </c>
      <c r="D139" s="86" t="s">
        <v>31</v>
      </c>
      <c r="Z139" s="111"/>
      <c r="AA139" s="111"/>
      <c r="AB139" s="111"/>
      <c r="AC139" s="111"/>
      <c r="AD139" s="111"/>
      <c r="AE139" s="111"/>
      <c r="AF139" s="111"/>
      <c r="AG139" s="111"/>
      <c r="AH139" s="111"/>
      <c r="AI139" s="111"/>
      <c r="AJ139" s="111"/>
      <c r="AK139" s="111"/>
      <c r="AL139" s="111"/>
      <c r="AM139" s="111"/>
      <c r="AN139" s="111"/>
    </row>
    <row r="140" spans="1:40">
      <c r="A140" s="5"/>
      <c r="B140" s="64" t="s">
        <v>116</v>
      </c>
      <c r="C140" s="87">
        <f>(J31+J32+J35+J34+J28+J29+J30)</f>
        <v>0.53157017382492655</v>
      </c>
      <c r="D140" s="86" t="s">
        <v>3</v>
      </c>
      <c r="Z140" s="111"/>
      <c r="AA140" s="111"/>
      <c r="AB140" s="111"/>
      <c r="AC140" s="111"/>
      <c r="AD140" s="111"/>
      <c r="AE140" s="111"/>
      <c r="AF140" s="111"/>
      <c r="AG140" s="111"/>
      <c r="AH140" s="111"/>
      <c r="AI140" s="111"/>
      <c r="AJ140" s="111"/>
      <c r="AK140" s="111"/>
      <c r="AL140" s="111"/>
      <c r="AM140" s="111"/>
      <c r="AN140" s="111"/>
    </row>
    <row r="141" spans="1:40">
      <c r="A141" s="5"/>
      <c r="B141" s="64" t="s">
        <v>117</v>
      </c>
      <c r="C141" s="87">
        <f>C140+(K31+K32+K33+K40+K45+K29+K30)</f>
        <v>0.83813937049653353</v>
      </c>
      <c r="D141" s="86" t="s">
        <v>3</v>
      </c>
      <c r="Z141" s="111"/>
      <c r="AA141" s="111"/>
      <c r="AB141" s="111"/>
      <c r="AC141" s="111"/>
      <c r="AD141" s="111"/>
      <c r="AE141" s="111"/>
      <c r="AF141" s="111"/>
      <c r="AG141" s="111"/>
      <c r="AH141" s="111"/>
      <c r="AI141" s="111"/>
      <c r="AJ141" s="111"/>
      <c r="AK141" s="111"/>
      <c r="AL141" s="111"/>
      <c r="AM141" s="111"/>
      <c r="AN141" s="111"/>
    </row>
    <row r="142" spans="1:40">
      <c r="A142" s="5"/>
      <c r="B142" s="64" t="s">
        <v>118</v>
      </c>
      <c r="C142" s="87">
        <f>C141+(L31+L32+L36+L37+L38+L39+L41+L43+L44+L29+L30)</f>
        <v>1.2096550078118087</v>
      </c>
      <c r="D142" s="86" t="s">
        <v>3</v>
      </c>
      <c r="Z142" s="111"/>
      <c r="AA142" s="111"/>
      <c r="AB142" s="111"/>
      <c r="AC142" s="111"/>
      <c r="AD142" s="111"/>
      <c r="AE142" s="111"/>
      <c r="AF142" s="111"/>
      <c r="AG142" s="111"/>
      <c r="AH142" s="111"/>
      <c r="AI142" s="111"/>
      <c r="AJ142" s="111"/>
      <c r="AK142" s="111"/>
      <c r="AL142" s="111"/>
      <c r="AM142" s="111"/>
      <c r="AN142" s="111"/>
    </row>
    <row r="143" spans="1:40">
      <c r="A143" s="5"/>
      <c r="B143" s="64" t="s">
        <v>124</v>
      </c>
      <c r="C143" s="87">
        <f>SUM(H28,H30:H41,H43:H45)+(H46+H47)+H29</f>
        <v>1.2096550078118087</v>
      </c>
      <c r="D143" s="86" t="s">
        <v>3</v>
      </c>
      <c r="Z143" s="111"/>
      <c r="AA143" s="111"/>
      <c r="AB143" s="111"/>
      <c r="AC143" s="111"/>
      <c r="AD143" s="111"/>
      <c r="AE143" s="111"/>
      <c r="AF143" s="111"/>
      <c r="AG143" s="111"/>
      <c r="AH143" s="111"/>
      <c r="AI143" s="111"/>
      <c r="AJ143" s="111"/>
      <c r="AK143" s="111"/>
      <c r="AL143" s="111"/>
      <c r="AM143" s="111"/>
      <c r="AN143" s="111"/>
    </row>
    <row r="144" spans="1:40">
      <c r="A144" s="5"/>
      <c r="B144" s="225" t="s">
        <v>119</v>
      </c>
      <c r="C144" s="219">
        <f>C140/C136-C140</f>
        <v>2.7977377569732953E-2</v>
      </c>
      <c r="D144" s="226" t="s">
        <v>3</v>
      </c>
      <c r="Z144" s="111"/>
      <c r="AA144" s="111"/>
      <c r="AB144" s="111"/>
      <c r="AC144" s="111"/>
      <c r="AD144" s="111"/>
      <c r="AE144" s="111"/>
      <c r="AF144" s="111"/>
      <c r="AG144" s="111"/>
      <c r="AH144" s="111"/>
      <c r="AI144" s="111"/>
      <c r="AJ144" s="111"/>
      <c r="AK144" s="111"/>
      <c r="AL144" s="111"/>
      <c r="AM144" s="111"/>
      <c r="AN144" s="111"/>
    </row>
    <row r="145" spans="1:40">
      <c r="A145" s="5"/>
      <c r="B145" s="225" t="s">
        <v>120</v>
      </c>
      <c r="C145" s="219">
        <f>C141/C137-C141</f>
        <v>3.0398837271895074E-2</v>
      </c>
      <c r="D145" s="226" t="s">
        <v>3</v>
      </c>
      <c r="Z145" s="111"/>
      <c r="AA145" s="111"/>
      <c r="AB145" s="111"/>
      <c r="AC145" s="111"/>
      <c r="AD145" s="111"/>
      <c r="AE145" s="111"/>
      <c r="AF145" s="111"/>
      <c r="AG145" s="111"/>
      <c r="AH145" s="111"/>
      <c r="AI145" s="111"/>
      <c r="AJ145" s="111"/>
      <c r="AK145" s="111"/>
      <c r="AL145" s="111"/>
      <c r="AM145" s="111"/>
      <c r="AN145" s="111"/>
    </row>
    <row r="146" spans="1:40">
      <c r="A146" s="5"/>
      <c r="B146" s="225" t="s">
        <v>121</v>
      </c>
      <c r="C146" s="219">
        <f>C142/C138-C142</f>
        <v>2.4686836894118658E-2</v>
      </c>
      <c r="D146" s="226" t="s">
        <v>3</v>
      </c>
      <c r="Z146" s="111"/>
      <c r="AA146" s="111"/>
      <c r="AB146" s="111"/>
      <c r="AC146" s="111"/>
      <c r="AD146" s="111"/>
      <c r="AE146" s="111"/>
      <c r="AF146" s="111"/>
      <c r="AG146" s="111"/>
      <c r="AH146" s="111"/>
      <c r="AI146" s="111"/>
      <c r="AJ146" s="111"/>
      <c r="AK146" s="111"/>
      <c r="AL146" s="111"/>
      <c r="AM146" s="111"/>
      <c r="AN146" s="111"/>
    </row>
    <row r="147" spans="1:40">
      <c r="A147" s="5"/>
      <c r="B147" s="225" t="s">
        <v>125</v>
      </c>
      <c r="C147" s="219">
        <f>C143/C139-C143</f>
        <v>0</v>
      </c>
      <c r="D147" s="226" t="s">
        <v>3</v>
      </c>
      <c r="Z147" s="111"/>
      <c r="AA147" s="111"/>
      <c r="AB147" s="111"/>
      <c r="AC147" s="111"/>
      <c r="AD147" s="111"/>
      <c r="AE147" s="111"/>
      <c r="AF147" s="111"/>
      <c r="AG147" s="111"/>
      <c r="AH147" s="111"/>
      <c r="AI147" s="111"/>
      <c r="AJ147" s="111"/>
      <c r="AK147" s="111"/>
      <c r="AL147" s="111"/>
      <c r="AM147" s="111"/>
      <c r="AN147" s="111"/>
    </row>
    <row r="148" spans="1:40">
      <c r="A148" s="5"/>
      <c r="B148" s="119" t="s">
        <v>122</v>
      </c>
      <c r="C148" s="120">
        <f>SUM(C144:C147)</f>
        <v>8.3063051735746685E-2</v>
      </c>
      <c r="D148" s="121" t="s">
        <v>3</v>
      </c>
      <c r="Z148" s="111"/>
      <c r="AA148" s="111"/>
      <c r="AB148" s="111"/>
      <c r="AC148" s="111"/>
      <c r="AD148" s="111"/>
      <c r="AE148" s="111"/>
      <c r="AF148" s="111"/>
      <c r="AG148" s="111"/>
      <c r="AH148" s="111"/>
      <c r="AI148" s="111"/>
      <c r="AJ148" s="111"/>
      <c r="AK148" s="111"/>
      <c r="AL148" s="111"/>
      <c r="AM148" s="111"/>
      <c r="AN148" s="111"/>
    </row>
    <row r="149" spans="1:40">
      <c r="A149" s="5"/>
      <c r="Z149" s="111"/>
      <c r="AA149" s="111"/>
      <c r="AB149" s="111"/>
      <c r="AC149" s="111"/>
      <c r="AD149" s="111"/>
      <c r="AE149" s="111"/>
      <c r="AF149" s="111"/>
      <c r="AG149" s="111"/>
      <c r="AH149" s="111"/>
      <c r="AI149" s="111"/>
      <c r="AJ149" s="111"/>
      <c r="AK149" s="111"/>
      <c r="AL149" s="111"/>
      <c r="AM149" s="111"/>
      <c r="AN149" s="111"/>
    </row>
    <row r="150" spans="1:40">
      <c r="A150" s="5"/>
      <c r="B150" s="371" t="s">
        <v>29</v>
      </c>
      <c r="C150" s="372"/>
      <c r="D150" s="373"/>
      <c r="Z150" s="111"/>
      <c r="AA150" s="111"/>
      <c r="AB150" s="111"/>
      <c r="AC150" s="111"/>
      <c r="AD150" s="111"/>
      <c r="AE150" s="111"/>
      <c r="AF150" s="111"/>
      <c r="AG150" s="111"/>
      <c r="AH150" s="111"/>
      <c r="AI150" s="111"/>
      <c r="AJ150" s="111"/>
      <c r="AK150" s="111"/>
      <c r="AL150" s="111"/>
      <c r="AM150" s="111"/>
      <c r="AN150" s="111"/>
    </row>
    <row r="151" spans="1:40">
      <c r="A151" s="5"/>
      <c r="B151" s="374" t="s">
        <v>195</v>
      </c>
      <c r="C151" s="372">
        <f>0.15</f>
        <v>0.15</v>
      </c>
      <c r="D151" s="373" t="s">
        <v>35</v>
      </c>
      <c r="Z151" s="111"/>
      <c r="AA151" s="111"/>
      <c r="AB151" s="111"/>
      <c r="AC151" s="111"/>
      <c r="AD151" s="111"/>
      <c r="AE151" s="111"/>
      <c r="AF151" s="111"/>
      <c r="AG151" s="111"/>
      <c r="AH151" s="111"/>
      <c r="AI151" s="111"/>
      <c r="AJ151" s="111"/>
      <c r="AK151" s="111"/>
      <c r="AL151" s="111"/>
      <c r="AM151" s="111"/>
      <c r="AN151" s="111"/>
    </row>
    <row r="152" spans="1:40">
      <c r="A152" s="5"/>
      <c r="B152" s="392" t="s">
        <v>29</v>
      </c>
      <c r="C152" s="391">
        <f>3*C151*C56</f>
        <v>0.88593977528089884</v>
      </c>
      <c r="D152" s="393" t="s">
        <v>208</v>
      </c>
      <c r="Z152" s="111"/>
      <c r="AA152" s="111"/>
      <c r="AB152" s="111"/>
      <c r="AC152" s="111"/>
      <c r="AD152" s="111"/>
      <c r="AE152" s="111"/>
      <c r="AF152" s="111"/>
      <c r="AG152" s="111"/>
      <c r="AH152" s="111"/>
      <c r="AI152" s="111"/>
      <c r="AJ152" s="111"/>
      <c r="AK152" s="111"/>
      <c r="AL152" s="111"/>
      <c r="AM152" s="111"/>
      <c r="AN152" s="111"/>
    </row>
    <row r="153" spans="1:40">
      <c r="A153" s="5"/>
      <c r="B153" s="116" t="s">
        <v>209</v>
      </c>
      <c r="C153" s="117">
        <f>C152/C57</f>
        <v>3.1034482758620693E-3</v>
      </c>
      <c r="D153" s="118" t="s">
        <v>3</v>
      </c>
      <c r="Z153" s="111"/>
      <c r="AA153" s="111"/>
      <c r="AB153" s="111"/>
      <c r="AC153" s="111"/>
      <c r="AD153" s="111"/>
      <c r="AE153" s="111"/>
      <c r="AF153" s="111"/>
      <c r="AG153" s="111"/>
      <c r="AH153" s="111"/>
      <c r="AI153" s="111"/>
      <c r="AJ153" s="111"/>
      <c r="AK153" s="111"/>
      <c r="AL153" s="111"/>
      <c r="AM153" s="111"/>
      <c r="AN153" s="111"/>
    </row>
    <row r="154" spans="1:40">
      <c r="A154" s="5"/>
      <c r="B154" s="7"/>
      <c r="C154" s="318"/>
      <c r="D154" s="7"/>
      <c r="Z154" s="111"/>
      <c r="AA154" s="111"/>
      <c r="AB154" s="111"/>
      <c r="AC154" s="111"/>
      <c r="AD154" s="111"/>
      <c r="AE154" s="111"/>
      <c r="AF154" s="111"/>
      <c r="AG154" s="111"/>
      <c r="AH154" s="111"/>
      <c r="AI154" s="111"/>
      <c r="AJ154" s="111"/>
      <c r="AK154" s="111"/>
      <c r="AL154" s="111"/>
      <c r="AM154" s="111"/>
      <c r="AN154" s="111"/>
    </row>
    <row r="155" spans="1:40">
      <c r="A155" s="5"/>
      <c r="B155" s="334" t="s">
        <v>42</v>
      </c>
      <c r="C155" s="335"/>
      <c r="D155" s="336"/>
      <c r="Z155" s="111"/>
      <c r="AA155" s="111"/>
      <c r="AB155" s="111"/>
      <c r="AC155" s="111"/>
      <c r="AD155" s="111"/>
      <c r="AE155" s="111"/>
      <c r="AF155" s="111"/>
      <c r="AG155" s="111"/>
      <c r="AH155" s="111"/>
      <c r="AI155" s="111"/>
      <c r="AJ155" s="111"/>
      <c r="AK155" s="111"/>
      <c r="AL155" s="111"/>
      <c r="AM155" s="111"/>
      <c r="AN155" s="111"/>
    </row>
    <row r="156" spans="1:40">
      <c r="A156" s="5"/>
      <c r="B156" s="798" t="s">
        <v>228</v>
      </c>
      <c r="C156" s="799">
        <f>(30/0.0311034768)/0.75</f>
        <v>1286.0298627451191</v>
      </c>
      <c r="D156" s="800" t="s">
        <v>17</v>
      </c>
      <c r="Z156" s="111"/>
      <c r="AA156" s="111"/>
      <c r="AB156" s="111"/>
      <c r="AC156" s="111"/>
      <c r="AD156" s="111"/>
      <c r="AE156" s="111"/>
      <c r="AF156" s="111"/>
      <c r="AG156" s="111"/>
      <c r="AH156" s="111"/>
      <c r="AI156" s="111"/>
      <c r="AJ156" s="111"/>
      <c r="AK156" s="111"/>
      <c r="AL156" s="111"/>
      <c r="AM156" s="111"/>
      <c r="AN156" s="111"/>
    </row>
    <row r="157" spans="1:40">
      <c r="A157" s="5"/>
      <c r="B157" s="736" t="s">
        <v>229</v>
      </c>
      <c r="C157" s="797">
        <v>0.22500000000000001</v>
      </c>
      <c r="D157" s="732" t="s">
        <v>188</v>
      </c>
      <c r="Z157" s="111"/>
      <c r="AA157" s="111"/>
      <c r="AB157" s="111"/>
      <c r="AC157" s="111"/>
      <c r="AD157" s="111"/>
      <c r="AE157" s="111"/>
      <c r="AF157" s="111"/>
      <c r="AG157" s="111"/>
      <c r="AH157" s="111"/>
      <c r="AI157" s="111"/>
      <c r="AJ157" s="111"/>
      <c r="AK157" s="111"/>
      <c r="AL157" s="111"/>
      <c r="AM157" s="111"/>
      <c r="AN157" s="111"/>
    </row>
    <row r="158" spans="1:40" s="401" customFormat="1">
      <c r="A158" s="406"/>
      <c r="B158" s="801" t="s">
        <v>228</v>
      </c>
      <c r="C158" s="802">
        <f>C156*C157/1000</f>
        <v>0.28935671911765176</v>
      </c>
      <c r="D158" s="803" t="s">
        <v>21</v>
      </c>
      <c r="Z158" s="526"/>
      <c r="AA158" s="526"/>
      <c r="AB158" s="526"/>
      <c r="AC158" s="526"/>
      <c r="AD158" s="526"/>
      <c r="AE158" s="526"/>
      <c r="AF158" s="526"/>
      <c r="AG158" s="526"/>
      <c r="AH158" s="526"/>
      <c r="AI158" s="526"/>
      <c r="AJ158" s="526"/>
      <c r="AK158" s="526"/>
      <c r="AL158" s="526"/>
      <c r="AM158" s="526"/>
      <c r="AN158" s="526"/>
    </row>
    <row r="159" spans="1:40" s="401" customFormat="1">
      <c r="A159" s="406"/>
      <c r="B159" s="736" t="s">
        <v>230</v>
      </c>
      <c r="C159" s="797">
        <v>150</v>
      </c>
      <c r="D159" s="732" t="s">
        <v>17</v>
      </c>
      <c r="Z159" s="526"/>
      <c r="AA159" s="526"/>
      <c r="AB159" s="526"/>
      <c r="AC159" s="526"/>
      <c r="AD159" s="526"/>
      <c r="AE159" s="526"/>
      <c r="AF159" s="526"/>
      <c r="AG159" s="526"/>
      <c r="AH159" s="526"/>
      <c r="AI159" s="526"/>
      <c r="AJ159" s="526"/>
      <c r="AK159" s="526"/>
      <c r="AL159" s="526"/>
      <c r="AM159" s="526"/>
      <c r="AN159" s="526"/>
    </row>
    <row r="160" spans="1:40" s="401" customFormat="1">
      <c r="A160" s="406"/>
      <c r="B160" s="736" t="s">
        <v>231</v>
      </c>
      <c r="C160" s="797">
        <v>1</v>
      </c>
      <c r="D160" s="732" t="s">
        <v>188</v>
      </c>
      <c r="Z160" s="526"/>
      <c r="AA160" s="526"/>
      <c r="AB160" s="526"/>
      <c r="AC160" s="526"/>
      <c r="AD160" s="526"/>
      <c r="AE160" s="526"/>
      <c r="AF160" s="526"/>
      <c r="AG160" s="526"/>
      <c r="AH160" s="526"/>
      <c r="AI160" s="526"/>
      <c r="AJ160" s="526"/>
      <c r="AK160" s="526"/>
      <c r="AL160" s="526"/>
      <c r="AM160" s="526"/>
      <c r="AN160" s="526"/>
    </row>
    <row r="161" spans="1:40" s="401" customFormat="1">
      <c r="A161" s="406"/>
      <c r="B161" s="801" t="s">
        <v>230</v>
      </c>
      <c r="C161" s="802">
        <f>C159*C160/1000</f>
        <v>0.15</v>
      </c>
      <c r="D161" s="803" t="s">
        <v>21</v>
      </c>
      <c r="Z161" s="526"/>
      <c r="AA161" s="526"/>
      <c r="AB161" s="526"/>
      <c r="AC161" s="526"/>
      <c r="AD161" s="526"/>
      <c r="AE161" s="526"/>
      <c r="AF161" s="526"/>
      <c r="AG161" s="526"/>
      <c r="AH161" s="526"/>
      <c r="AI161" s="526"/>
      <c r="AJ161" s="526"/>
      <c r="AK161" s="526"/>
      <c r="AL161" s="526"/>
      <c r="AM161" s="526"/>
      <c r="AN161" s="526"/>
    </row>
    <row r="162" spans="1:40">
      <c r="A162" s="5"/>
      <c r="B162" s="786" t="s">
        <v>189</v>
      </c>
      <c r="C162" s="787">
        <f>C158+C161</f>
        <v>0.43935671911765173</v>
      </c>
      <c r="D162" s="788" t="s">
        <v>21</v>
      </c>
      <c r="S162" s="111"/>
      <c r="T162" s="111"/>
      <c r="U162" s="111"/>
      <c r="V162" s="111"/>
      <c r="W162" s="111"/>
      <c r="X162" s="111"/>
      <c r="Y162" s="111"/>
      <c r="Z162" s="111"/>
      <c r="AA162" s="111"/>
      <c r="AB162" s="111"/>
      <c r="AC162" s="111"/>
      <c r="AD162" s="111"/>
      <c r="AE162" s="111"/>
      <c r="AF162" s="111"/>
      <c r="AG162" s="111"/>
    </row>
    <row r="163" spans="1:40">
      <c r="A163" s="5"/>
      <c r="S163" s="111"/>
      <c r="T163" s="111"/>
      <c r="U163" s="111"/>
      <c r="V163" s="111"/>
      <c r="W163" s="111"/>
      <c r="X163" s="111"/>
      <c r="Y163" s="111"/>
      <c r="Z163" s="111"/>
      <c r="AA163" s="111"/>
      <c r="AB163" s="111"/>
      <c r="AC163" s="111"/>
      <c r="AD163" s="111"/>
      <c r="AE163" s="111"/>
      <c r="AF163" s="111"/>
      <c r="AG163" s="111"/>
    </row>
    <row r="164" spans="1:40">
      <c r="A164" s="5"/>
      <c r="B164" s="99" t="s">
        <v>66</v>
      </c>
      <c r="C164" s="100"/>
      <c r="D164" s="100"/>
      <c r="E164" s="100"/>
      <c r="F164" s="100"/>
      <c r="G164" s="898"/>
      <c r="H164" s="861"/>
      <c r="I164" s="861"/>
      <c r="J164" s="861"/>
      <c r="S164" s="111"/>
      <c r="T164" s="111"/>
      <c r="U164" s="111"/>
      <c r="V164" s="111"/>
      <c r="W164" s="111"/>
      <c r="X164" s="111"/>
      <c r="Y164" s="111"/>
      <c r="Z164" s="111"/>
      <c r="AA164" s="111"/>
      <c r="AB164" s="111"/>
      <c r="AC164" s="111"/>
      <c r="AD164" s="111"/>
      <c r="AE164" s="111"/>
      <c r="AF164" s="111"/>
      <c r="AG164" s="111"/>
    </row>
    <row r="165" spans="1:40">
      <c r="A165" s="5"/>
      <c r="B165" s="94" t="s">
        <v>219</v>
      </c>
      <c r="C165" s="96">
        <v>60</v>
      </c>
      <c r="D165" s="96" t="s">
        <v>31</v>
      </c>
      <c r="E165" s="96"/>
      <c r="F165" s="96"/>
      <c r="G165" s="898"/>
      <c r="H165" s="861"/>
      <c r="I165" s="861"/>
      <c r="J165" s="861"/>
      <c r="Z165" s="111"/>
      <c r="AA165" s="111"/>
      <c r="AB165" s="111"/>
      <c r="AC165" s="111"/>
      <c r="AD165" s="111"/>
      <c r="AE165" s="111"/>
      <c r="AF165" s="111"/>
      <c r="AG165" s="111"/>
      <c r="AH165" s="111"/>
      <c r="AI165" s="111"/>
      <c r="AJ165" s="111"/>
      <c r="AK165" s="111"/>
      <c r="AL165" s="111"/>
      <c r="AM165" s="111"/>
      <c r="AN165" s="111"/>
    </row>
    <row r="166" spans="1:40">
      <c r="A166" s="5"/>
      <c r="B166" s="94" t="s">
        <v>220</v>
      </c>
      <c r="C166" s="96">
        <v>1.6</v>
      </c>
      <c r="D166" s="96" t="s">
        <v>127</v>
      </c>
      <c r="E166" s="96"/>
      <c r="F166" s="96"/>
      <c r="G166" s="898"/>
      <c r="H166" s="861"/>
      <c r="I166" s="861"/>
      <c r="J166" s="861"/>
      <c r="Z166" s="111"/>
      <c r="AA166" s="111"/>
      <c r="AB166" s="111"/>
      <c r="AC166" s="111"/>
      <c r="AD166" s="111"/>
      <c r="AE166" s="111"/>
      <c r="AF166" s="111"/>
      <c r="AG166" s="111"/>
      <c r="AH166" s="111"/>
      <c r="AI166" s="111"/>
      <c r="AJ166" s="111"/>
      <c r="AK166" s="111"/>
      <c r="AL166" s="111"/>
      <c r="AM166" s="111"/>
      <c r="AN166" s="111"/>
    </row>
    <row r="167" spans="1:40">
      <c r="A167" s="5"/>
      <c r="B167" s="94"/>
      <c r="C167" s="906" t="s">
        <v>260</v>
      </c>
      <c r="D167" s="904" t="s">
        <v>261</v>
      </c>
      <c r="E167" s="904" t="s">
        <v>8</v>
      </c>
      <c r="F167" s="96"/>
      <c r="G167" s="898"/>
      <c r="H167" s="861"/>
      <c r="I167" s="861"/>
      <c r="J167" s="861"/>
      <c r="Z167" s="111"/>
      <c r="AA167" s="111"/>
      <c r="AB167" s="111"/>
      <c r="AC167" s="111"/>
      <c r="AD167" s="111"/>
      <c r="AE167" s="111"/>
      <c r="AF167" s="111"/>
      <c r="AG167" s="111"/>
      <c r="AH167" s="111"/>
      <c r="AI167" s="111"/>
      <c r="AJ167" s="111"/>
      <c r="AK167" s="111"/>
      <c r="AL167" s="111"/>
      <c r="AM167" s="111"/>
      <c r="AN167" s="111"/>
    </row>
    <row r="168" spans="1:40">
      <c r="A168" s="5"/>
      <c r="B168" s="94" t="s">
        <v>216</v>
      </c>
      <c r="C168" s="96">
        <v>15</v>
      </c>
      <c r="D168" s="92">
        <f>(($C$56-$C$166)*2+(1.6*2+1*2))/(1.6*2+1*2)*C168</f>
        <v>17.127433016421783</v>
      </c>
      <c r="E168" s="92">
        <f>D168/$C$57</f>
        <v>5.9997421887852433E-2</v>
      </c>
      <c r="F168" s="901"/>
      <c r="G168" s="898"/>
      <c r="H168" s="861"/>
      <c r="I168" s="861"/>
      <c r="J168" s="861"/>
      <c r="Z168" s="111"/>
      <c r="AA168" s="111"/>
      <c r="AB168" s="111"/>
      <c r="AC168" s="111"/>
      <c r="AD168" s="111"/>
      <c r="AE168" s="111"/>
      <c r="AF168" s="111"/>
      <c r="AG168" s="111"/>
      <c r="AH168" s="111"/>
      <c r="AI168" s="111"/>
      <c r="AJ168" s="111"/>
      <c r="AK168" s="111"/>
      <c r="AL168" s="111"/>
      <c r="AM168" s="111"/>
      <c r="AN168" s="111"/>
    </row>
    <row r="169" spans="1:40">
      <c r="A169" s="5"/>
      <c r="B169" s="94" t="s">
        <v>217</v>
      </c>
      <c r="C169" s="96">
        <v>11.5</v>
      </c>
      <c r="D169" s="899">
        <f>C169*$C$56/$C$166</f>
        <v>14.150426966292136</v>
      </c>
      <c r="E169" s="899">
        <f t="shared" ref="E169:E173" si="14">D169/$C$57</f>
        <v>4.9568965517241388E-2</v>
      </c>
      <c r="F169" s="901"/>
      <c r="G169" s="898"/>
      <c r="H169" s="861"/>
      <c r="I169" s="861"/>
      <c r="J169" s="861"/>
      <c r="Z169" s="111"/>
      <c r="AA169" s="111"/>
      <c r="AB169" s="111"/>
      <c r="AC169" s="111"/>
      <c r="AD169" s="111"/>
      <c r="AE169" s="111"/>
      <c r="AF169" s="111"/>
      <c r="AG169" s="111"/>
      <c r="AH169" s="111"/>
      <c r="AI169" s="111"/>
      <c r="AJ169" s="111"/>
      <c r="AK169" s="111"/>
      <c r="AL169" s="111"/>
      <c r="AM169" s="111"/>
      <c r="AN169" s="111"/>
    </row>
    <row r="170" spans="1:40">
      <c r="A170" s="5"/>
      <c r="B170" s="94" t="s">
        <v>218</v>
      </c>
      <c r="C170" s="96">
        <v>9</v>
      </c>
      <c r="D170" s="899">
        <f>C170*$C$56/$C$166</f>
        <v>11.074247191011235</v>
      </c>
      <c r="E170" s="899">
        <f t="shared" si="14"/>
        <v>3.8793103448275863E-2</v>
      </c>
      <c r="F170" s="901"/>
      <c r="G170" s="898"/>
      <c r="H170" s="861"/>
      <c r="I170" s="861"/>
      <c r="J170" s="861"/>
      <c r="Z170" s="111"/>
      <c r="AA170" s="111"/>
      <c r="AB170" s="111"/>
      <c r="AC170" s="111"/>
      <c r="AD170" s="111"/>
      <c r="AE170" s="111"/>
      <c r="AF170" s="111"/>
      <c r="AG170" s="111"/>
      <c r="AH170" s="111"/>
      <c r="AI170" s="111"/>
      <c r="AJ170" s="111"/>
      <c r="AK170" s="111"/>
      <c r="AL170" s="111"/>
      <c r="AM170" s="111"/>
      <c r="AN170" s="111"/>
    </row>
    <row r="171" spans="1:40">
      <c r="A171" s="5"/>
      <c r="B171" s="94" t="s">
        <v>191</v>
      </c>
      <c r="C171" s="96">
        <v>17</v>
      </c>
      <c r="D171" s="899">
        <f>C171*$C$56/$C$166</f>
        <v>20.91802247191011</v>
      </c>
      <c r="E171" s="899">
        <f t="shared" si="14"/>
        <v>7.3275862068965525E-2</v>
      </c>
      <c r="F171" s="901"/>
      <c r="G171" s="898"/>
      <c r="H171" s="861"/>
      <c r="I171" s="861"/>
      <c r="J171" s="861"/>
      <c r="Z171" s="111"/>
      <c r="AA171" s="111"/>
      <c r="AB171" s="111"/>
      <c r="AC171" s="111"/>
      <c r="AD171" s="111"/>
      <c r="AE171" s="111"/>
      <c r="AF171" s="111"/>
      <c r="AG171" s="111"/>
      <c r="AH171" s="111"/>
      <c r="AI171" s="111"/>
      <c r="AJ171" s="111"/>
      <c r="AK171" s="111"/>
      <c r="AL171" s="111"/>
      <c r="AM171" s="111"/>
      <c r="AN171" s="111"/>
    </row>
    <row r="172" spans="1:40">
      <c r="A172" s="5"/>
      <c r="B172" s="94" t="s">
        <v>13</v>
      </c>
      <c r="C172" s="96">
        <v>10</v>
      </c>
      <c r="D172" s="899"/>
      <c r="E172" s="899">
        <v>0.04</v>
      </c>
      <c r="F172" s="96"/>
      <c r="G172" s="898"/>
      <c r="H172" s="861"/>
      <c r="I172" s="861"/>
      <c r="J172" s="861"/>
      <c r="Z172" s="111"/>
      <c r="AA172" s="111"/>
      <c r="AB172" s="111"/>
      <c r="AC172" s="111"/>
      <c r="AD172" s="111"/>
      <c r="AE172" s="111"/>
      <c r="AF172" s="111"/>
      <c r="AG172" s="111"/>
      <c r="AH172" s="111"/>
      <c r="AI172" s="111"/>
      <c r="AJ172" s="111"/>
      <c r="AK172" s="111"/>
      <c r="AL172" s="111"/>
      <c r="AM172" s="111"/>
      <c r="AN172" s="111"/>
    </row>
    <row r="173" spans="1:40">
      <c r="A173" s="5"/>
      <c r="B173" s="94" t="s">
        <v>14</v>
      </c>
      <c r="C173" s="96">
        <v>7.5</v>
      </c>
      <c r="D173" s="899">
        <f>C173*$C$56/$C$166</f>
        <v>9.2285393258426964</v>
      </c>
      <c r="E173" s="899">
        <f t="shared" si="14"/>
        <v>3.2327586206896554E-2</v>
      </c>
      <c r="F173" s="96"/>
      <c r="G173" s="898"/>
      <c r="H173" s="861"/>
      <c r="I173" s="861"/>
      <c r="J173" s="861"/>
      <c r="Z173" s="111"/>
      <c r="AA173" s="111"/>
      <c r="AB173" s="111"/>
      <c r="AC173" s="111"/>
      <c r="AD173" s="111"/>
      <c r="AE173" s="111"/>
      <c r="AF173" s="111"/>
      <c r="AG173" s="111"/>
      <c r="AH173" s="111"/>
      <c r="AI173" s="111"/>
      <c r="AJ173" s="111"/>
      <c r="AK173" s="111"/>
      <c r="AL173" s="111"/>
      <c r="AM173" s="111"/>
      <c r="AN173" s="111"/>
    </row>
    <row r="174" spans="1:40" s="897" customFormat="1">
      <c r="A174" s="898"/>
      <c r="B174" s="900"/>
      <c r="C174" s="901"/>
      <c r="D174" s="899"/>
      <c r="E174" s="899"/>
      <c r="F174" s="901"/>
      <c r="G174" s="898"/>
      <c r="H174" s="861"/>
      <c r="I174" s="861"/>
      <c r="J174" s="861"/>
      <c r="Z174" s="902"/>
      <c r="AA174" s="902"/>
      <c r="AB174" s="902"/>
      <c r="AC174" s="902"/>
      <c r="AD174" s="902"/>
      <c r="AE174" s="902"/>
      <c r="AF174" s="902"/>
      <c r="AG174" s="902"/>
      <c r="AH174" s="902"/>
      <c r="AI174" s="902"/>
      <c r="AJ174" s="902"/>
      <c r="AK174" s="902"/>
      <c r="AL174" s="902"/>
      <c r="AM174" s="902"/>
      <c r="AN174" s="902"/>
    </row>
    <row r="175" spans="1:40">
      <c r="A175" s="5"/>
      <c r="B175" s="94" t="s">
        <v>221</v>
      </c>
      <c r="C175" s="96">
        <v>4</v>
      </c>
      <c r="D175" s="92" t="s">
        <v>225</v>
      </c>
      <c r="E175" s="92"/>
      <c r="F175" s="96"/>
      <c r="G175" s="905"/>
      <c r="H175" s="861"/>
      <c r="I175" s="861"/>
      <c r="J175" s="861"/>
      <c r="Z175" s="111"/>
      <c r="AA175" s="111"/>
      <c r="AB175" s="111"/>
      <c r="AC175" s="111"/>
      <c r="AD175" s="111"/>
      <c r="AE175" s="111"/>
      <c r="AF175" s="111"/>
      <c r="AG175" s="111"/>
      <c r="AH175" s="111"/>
      <c r="AI175" s="111"/>
      <c r="AJ175" s="111"/>
      <c r="AK175" s="111"/>
      <c r="AL175" s="111"/>
      <c r="AM175" s="111"/>
      <c r="AN175" s="111"/>
    </row>
    <row r="176" spans="1:40">
      <c r="A176" s="5"/>
      <c r="B176" s="94" t="s">
        <v>222</v>
      </c>
      <c r="C176" s="96">
        <v>8000</v>
      </c>
      <c r="D176" s="92" t="s">
        <v>223</v>
      </c>
      <c r="E176" s="92"/>
      <c r="F176" s="96"/>
      <c r="G176" s="898"/>
      <c r="H176" s="861"/>
      <c r="I176" s="861"/>
      <c r="J176" s="861"/>
      <c r="Z176" s="111"/>
      <c r="AA176" s="111"/>
      <c r="AB176" s="111"/>
      <c r="AC176" s="111"/>
      <c r="AD176" s="111"/>
      <c r="AE176" s="111"/>
      <c r="AF176" s="111"/>
      <c r="AG176" s="111"/>
      <c r="AH176" s="111"/>
      <c r="AI176" s="111"/>
      <c r="AJ176" s="111"/>
      <c r="AK176" s="111"/>
      <c r="AL176" s="111"/>
      <c r="AM176" s="111"/>
      <c r="AN176" s="111"/>
    </row>
    <row r="177" spans="1:40">
      <c r="A177" s="5"/>
      <c r="B177" s="94" t="s">
        <v>224</v>
      </c>
      <c r="C177" s="96">
        <v>100</v>
      </c>
      <c r="D177" s="92" t="s">
        <v>2</v>
      </c>
      <c r="E177" s="92"/>
      <c r="F177" s="96"/>
      <c r="G177" s="898"/>
      <c r="H177" s="861"/>
      <c r="I177" s="861"/>
      <c r="J177" s="861"/>
      <c r="Z177" s="111"/>
      <c r="AA177" s="111"/>
      <c r="AB177" s="111"/>
      <c r="AC177" s="111"/>
      <c r="AD177" s="111"/>
      <c r="AE177" s="111"/>
      <c r="AF177" s="111"/>
      <c r="AG177" s="111"/>
      <c r="AH177" s="111"/>
      <c r="AI177" s="111"/>
      <c r="AJ177" s="111"/>
      <c r="AK177" s="111"/>
      <c r="AL177" s="111"/>
      <c r="AM177" s="111"/>
      <c r="AN177" s="111"/>
    </row>
    <row r="178" spans="1:40">
      <c r="A178" s="5"/>
      <c r="B178" s="97" t="s">
        <v>224</v>
      </c>
      <c r="C178" s="98">
        <f>C177*C175/C176</f>
        <v>0.05</v>
      </c>
      <c r="D178" s="394" t="s">
        <v>21</v>
      </c>
      <c r="E178" s="394"/>
      <c r="F178" s="98"/>
      <c r="G178" s="898"/>
      <c r="H178" s="861"/>
      <c r="I178" s="861"/>
      <c r="J178" s="861"/>
      <c r="Z178" s="111"/>
      <c r="AA178" s="111"/>
      <c r="AB178" s="111"/>
      <c r="AC178" s="111"/>
      <c r="AD178" s="111"/>
      <c r="AE178" s="111"/>
      <c r="AF178" s="111"/>
      <c r="AG178" s="111"/>
      <c r="AH178" s="111"/>
      <c r="AI178" s="111"/>
      <c r="AJ178" s="111"/>
      <c r="AK178" s="111"/>
      <c r="AL178" s="111"/>
      <c r="AM178" s="111"/>
      <c r="AN178" s="111"/>
    </row>
    <row r="179" spans="1:40">
      <c r="A179" s="5"/>
      <c r="Z179" s="111"/>
      <c r="AA179" s="111"/>
      <c r="AB179" s="111"/>
      <c r="AC179" s="111"/>
      <c r="AD179" s="111"/>
      <c r="AE179" s="111"/>
      <c r="AF179" s="111"/>
      <c r="AG179" s="111"/>
      <c r="AH179" s="111"/>
      <c r="AI179" s="111"/>
      <c r="AJ179" s="111"/>
      <c r="AK179" s="111"/>
      <c r="AL179" s="111"/>
      <c r="AM179" s="111"/>
      <c r="AN179" s="111"/>
    </row>
    <row r="180" spans="1:40">
      <c r="A180" s="5"/>
      <c r="B180" s="152" t="s">
        <v>70</v>
      </c>
      <c r="C180" s="153"/>
      <c r="D180" s="154"/>
      <c r="Z180" s="111"/>
      <c r="AA180" s="111"/>
      <c r="AB180" s="111"/>
      <c r="AC180" s="111"/>
      <c r="AD180" s="111"/>
      <c r="AE180" s="111"/>
      <c r="AF180" s="111"/>
      <c r="AG180" s="111"/>
      <c r="AH180" s="111"/>
      <c r="AI180" s="111"/>
      <c r="AJ180" s="111"/>
      <c r="AK180" s="111"/>
      <c r="AL180" s="111"/>
      <c r="AM180" s="111"/>
      <c r="AN180" s="111"/>
    </row>
    <row r="181" spans="1:40">
      <c r="A181" s="5"/>
      <c r="B181" s="146" t="s">
        <v>74</v>
      </c>
      <c r="C181" s="155">
        <v>141120</v>
      </c>
      <c r="D181" s="156" t="s">
        <v>211</v>
      </c>
      <c r="Z181" s="111"/>
      <c r="AA181" s="111"/>
      <c r="AB181" s="111"/>
      <c r="AC181" s="111"/>
      <c r="AD181" s="111"/>
      <c r="AE181" s="111"/>
      <c r="AF181" s="111"/>
      <c r="AG181" s="111"/>
      <c r="AH181" s="111"/>
      <c r="AI181" s="111"/>
      <c r="AJ181" s="111"/>
      <c r="AK181" s="111"/>
      <c r="AL181" s="111"/>
      <c r="AM181" s="111"/>
      <c r="AN181" s="111"/>
    </row>
    <row r="182" spans="1:40">
      <c r="A182" s="5"/>
      <c r="B182" s="146" t="s">
        <v>71</v>
      </c>
      <c r="C182" s="151">
        <f>C20</f>
        <v>0</v>
      </c>
      <c r="D182" s="156" t="s">
        <v>72</v>
      </c>
      <c r="Z182" s="111"/>
      <c r="AA182" s="111"/>
      <c r="AB182" s="111"/>
      <c r="AC182" s="111"/>
      <c r="AD182" s="111"/>
      <c r="AE182" s="111"/>
      <c r="AF182" s="111"/>
      <c r="AG182" s="111"/>
      <c r="AH182" s="111"/>
      <c r="AI182" s="111"/>
      <c r="AJ182" s="111"/>
      <c r="AK182" s="111"/>
      <c r="AL182" s="111"/>
      <c r="AM182" s="111"/>
      <c r="AN182" s="111"/>
    </row>
    <row r="183" spans="1:40">
      <c r="A183" s="5"/>
      <c r="B183" s="157" t="s">
        <v>5</v>
      </c>
      <c r="C183" s="175">
        <f>C182/C181</f>
        <v>0</v>
      </c>
      <c r="D183" s="158" t="s">
        <v>0</v>
      </c>
      <c r="Z183" s="111"/>
      <c r="AA183" s="111"/>
      <c r="AB183" s="111"/>
      <c r="AC183" s="111"/>
      <c r="AD183" s="111"/>
      <c r="AE183" s="111"/>
      <c r="AF183" s="111"/>
      <c r="AG183" s="111"/>
      <c r="AH183" s="111"/>
      <c r="AI183" s="111"/>
      <c r="AJ183" s="111"/>
      <c r="AK183" s="111"/>
      <c r="AL183" s="111"/>
      <c r="AM183" s="111"/>
      <c r="AN183" s="111"/>
    </row>
    <row r="184" spans="1:40">
      <c r="A184" s="5"/>
      <c r="Z184" s="111"/>
      <c r="AA184" s="111"/>
      <c r="AB184" s="111"/>
      <c r="AC184" s="111"/>
      <c r="AD184" s="111"/>
      <c r="AE184" s="111"/>
      <c r="AF184" s="111"/>
      <c r="AG184" s="111"/>
      <c r="AH184" s="111"/>
      <c r="AI184" s="111"/>
      <c r="AJ184" s="111"/>
      <c r="AK184" s="111"/>
      <c r="AL184" s="111"/>
      <c r="AM184" s="111"/>
      <c r="AN184" s="111"/>
    </row>
    <row r="185" spans="1:40">
      <c r="A185" s="5"/>
      <c r="B185" s="176" t="s">
        <v>76</v>
      </c>
      <c r="C185" s="177"/>
      <c r="D185" s="178"/>
      <c r="Z185" s="111"/>
      <c r="AA185" s="111"/>
      <c r="AB185" s="111"/>
      <c r="AC185" s="111"/>
      <c r="AD185" s="111"/>
      <c r="AE185" s="111"/>
      <c r="AF185" s="111"/>
      <c r="AG185" s="111"/>
      <c r="AH185" s="111"/>
      <c r="AI185" s="111"/>
      <c r="AJ185" s="111"/>
      <c r="AK185" s="111"/>
      <c r="AL185" s="111"/>
      <c r="AM185" s="111"/>
      <c r="AN185" s="111"/>
    </row>
    <row r="186" spans="1:40">
      <c r="A186" s="5"/>
      <c r="B186" s="179" t="s">
        <v>84</v>
      </c>
      <c r="C186" s="160">
        <f>IF(C20&lt;&gt;0,1,0)</f>
        <v>0</v>
      </c>
      <c r="D186" s="180" t="s">
        <v>31</v>
      </c>
      <c r="Z186" s="111"/>
      <c r="AA186" s="111"/>
      <c r="AB186" s="111"/>
      <c r="AC186" s="111"/>
      <c r="AD186" s="111"/>
      <c r="AE186" s="111"/>
      <c r="AF186" s="111"/>
      <c r="AG186" s="111"/>
      <c r="AH186" s="111"/>
      <c r="AI186" s="111"/>
      <c r="AJ186" s="111"/>
      <c r="AK186" s="111"/>
      <c r="AL186" s="111"/>
      <c r="AM186" s="111"/>
      <c r="AN186" s="111"/>
    </row>
    <row r="187" spans="1:40">
      <c r="A187" s="5"/>
      <c r="B187" s="181" t="s">
        <v>85</v>
      </c>
      <c r="C187" s="182">
        <f>C186*2.5/100*SUM(H28:H41,H43:H45,J42:L42)</f>
        <v>0</v>
      </c>
      <c r="D187" s="183" t="s">
        <v>0</v>
      </c>
      <c r="Z187" s="111"/>
      <c r="AA187" s="111"/>
      <c r="AB187" s="111"/>
      <c r="AC187" s="111"/>
      <c r="AD187" s="111"/>
      <c r="AE187" s="111"/>
      <c r="AF187" s="111"/>
      <c r="AG187" s="111"/>
      <c r="AH187" s="111"/>
      <c r="AI187" s="111"/>
      <c r="AJ187" s="111"/>
      <c r="AK187" s="111"/>
      <c r="AL187" s="111"/>
      <c r="AM187" s="111"/>
      <c r="AN187" s="111"/>
    </row>
    <row r="188" spans="1:40">
      <c r="A188" s="5"/>
      <c r="Z188" s="111"/>
      <c r="AA188" s="111"/>
      <c r="AB188" s="111"/>
      <c r="AC188" s="111"/>
      <c r="AD188" s="111"/>
      <c r="AE188" s="111"/>
      <c r="AF188" s="111"/>
      <c r="AG188" s="111"/>
      <c r="AH188" s="111"/>
      <c r="AI188" s="111"/>
      <c r="AJ188" s="111"/>
      <c r="AK188" s="111"/>
      <c r="AL188" s="111"/>
      <c r="AM188" s="111"/>
      <c r="AN188" s="111"/>
    </row>
    <row r="189" spans="1:40">
      <c r="A189" s="5"/>
      <c r="Z189" s="111"/>
      <c r="AA189" s="111"/>
      <c r="AB189" s="111"/>
      <c r="AC189" s="111"/>
      <c r="AD189" s="111"/>
      <c r="AE189" s="111"/>
      <c r="AF189" s="111"/>
      <c r="AG189" s="111"/>
      <c r="AH189" s="111"/>
      <c r="AI189" s="111"/>
      <c r="AJ189" s="111"/>
      <c r="AK189" s="111"/>
      <c r="AL189" s="111"/>
      <c r="AM189" s="111"/>
      <c r="AN189" s="111"/>
    </row>
    <row r="190" spans="1:40">
      <c r="A190" s="5"/>
      <c r="Z190" s="111"/>
      <c r="AA190" s="111"/>
      <c r="AB190" s="111"/>
      <c r="AC190" s="111"/>
      <c r="AD190" s="111"/>
      <c r="AE190" s="111"/>
      <c r="AF190" s="111"/>
      <c r="AG190" s="111"/>
      <c r="AH190" s="111"/>
      <c r="AI190" s="111"/>
      <c r="AJ190" s="111"/>
      <c r="AK190" s="111"/>
      <c r="AL190" s="111"/>
      <c r="AM190" s="111"/>
      <c r="AN190" s="111"/>
    </row>
    <row r="191" spans="1:40">
      <c r="A191" s="5"/>
      <c r="Z191" s="111"/>
      <c r="AA191" s="111"/>
      <c r="AB191" s="111"/>
      <c r="AC191" s="111"/>
      <c r="AD191" s="111"/>
      <c r="AE191" s="111"/>
      <c r="AF191" s="111"/>
      <c r="AG191" s="111"/>
      <c r="AH191" s="111"/>
      <c r="AI191" s="111"/>
      <c r="AJ191" s="111"/>
      <c r="AK191" s="111"/>
      <c r="AL191" s="111"/>
      <c r="AM191" s="111"/>
      <c r="AN191" s="111"/>
    </row>
    <row r="192" spans="1:40">
      <c r="Z192" s="111"/>
      <c r="AA192" s="111"/>
      <c r="AB192" s="111"/>
      <c r="AC192" s="111"/>
      <c r="AD192" s="111"/>
      <c r="AE192" s="111"/>
      <c r="AF192" s="111"/>
      <c r="AG192" s="111"/>
      <c r="AH192" s="111"/>
      <c r="AI192" s="111"/>
      <c r="AJ192" s="111"/>
      <c r="AK192" s="111"/>
      <c r="AL192" s="111"/>
      <c r="AM192" s="111"/>
      <c r="AN192" s="111"/>
    </row>
  </sheetData>
  <mergeCells count="2">
    <mergeCell ref="J26:M26"/>
    <mergeCell ref="N26:Q26"/>
  </mergeCell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S192"/>
  <sheetViews>
    <sheetView zoomScale="60" zoomScaleNormal="60" workbookViewId="0"/>
  </sheetViews>
  <sheetFormatPr defaultRowHeight="14.4"/>
  <cols>
    <col min="1" max="1" width="8.88671875" style="405"/>
    <col min="2" max="2" width="30.6640625" style="401" customWidth="1"/>
    <col min="3" max="6" width="19" style="401" customWidth="1"/>
    <col min="7" max="7" width="24.77734375" style="401" customWidth="1"/>
    <col min="8" max="18" width="19" style="401" customWidth="1"/>
    <col min="19" max="16384" width="8.88671875" style="401"/>
  </cols>
  <sheetData>
    <row r="1" spans="1:19" ht="31.2">
      <c r="A1" s="889" t="s">
        <v>258</v>
      </c>
    </row>
    <row r="2" spans="1:19">
      <c r="A2" s="890" t="s">
        <v>262</v>
      </c>
    </row>
    <row r="3" spans="1:19">
      <c r="A3" s="859" t="s">
        <v>56</v>
      </c>
    </row>
    <row r="4" spans="1:19" s="831" customFormat="1" ht="13.8" customHeight="1">
      <c r="A4" s="897" t="s">
        <v>259</v>
      </c>
    </row>
    <row r="5" spans="1:19">
      <c r="A5" s="859"/>
    </row>
    <row r="6" spans="1:19">
      <c r="A6" s="401"/>
    </row>
    <row r="7" spans="1:19">
      <c r="A7" s="401"/>
      <c r="H7" s="404"/>
    </row>
    <row r="8" spans="1:19">
      <c r="A8" s="401"/>
      <c r="H8" s="404"/>
    </row>
    <row r="9" spans="1:19">
      <c r="A9" s="401"/>
      <c r="H9" s="404"/>
    </row>
    <row r="10" spans="1:19">
      <c r="H10" s="404"/>
    </row>
    <row r="11" spans="1:19">
      <c r="H11" s="404"/>
    </row>
    <row r="12" spans="1:19" ht="34.200000000000003" thickBot="1">
      <c r="B12" s="550" t="s">
        <v>41</v>
      </c>
      <c r="H12" s="404"/>
    </row>
    <row r="13" spans="1:19" ht="15" thickBot="1">
      <c r="B13" s="421" t="s">
        <v>58</v>
      </c>
      <c r="C13" s="430" t="s">
        <v>51</v>
      </c>
      <c r="D13" s="431" t="s">
        <v>60</v>
      </c>
      <c r="H13" s="404"/>
      <c r="S13" s="526"/>
    </row>
    <row r="14" spans="1:19">
      <c r="B14" s="415" t="s">
        <v>46</v>
      </c>
      <c r="C14" s="426">
        <v>17</v>
      </c>
      <c r="D14" s="432" t="s">
        <v>1</v>
      </c>
      <c r="E14" s="402"/>
      <c r="H14" s="404"/>
      <c r="S14" s="526"/>
    </row>
    <row r="15" spans="1:19">
      <c r="B15" s="417" t="s">
        <v>16</v>
      </c>
      <c r="C15" s="405">
        <v>120</v>
      </c>
      <c r="D15" s="433" t="s">
        <v>241</v>
      </c>
      <c r="H15" s="404"/>
      <c r="L15" s="407"/>
      <c r="N15" s="402"/>
      <c r="S15" s="526"/>
    </row>
    <row r="16" spans="1:19">
      <c r="B16" s="417" t="s">
        <v>50</v>
      </c>
      <c r="C16" s="405">
        <v>0.55000000000000004</v>
      </c>
      <c r="D16" s="433" t="s">
        <v>31</v>
      </c>
      <c r="H16" s="404"/>
      <c r="L16" s="407"/>
      <c r="S16" s="526"/>
    </row>
    <row r="17" spans="1:19">
      <c r="B17" s="417" t="s">
        <v>226</v>
      </c>
      <c r="C17" s="405">
        <v>25</v>
      </c>
      <c r="D17" s="433" t="s">
        <v>17</v>
      </c>
      <c r="E17" s="402"/>
      <c r="H17" s="404"/>
      <c r="S17" s="526"/>
    </row>
    <row r="18" spans="1:19">
      <c r="B18" s="417" t="s">
        <v>22</v>
      </c>
      <c r="C18" s="523">
        <f>18.5*1.325</f>
        <v>24.512499999999999</v>
      </c>
      <c r="D18" s="433" t="s">
        <v>23</v>
      </c>
      <c r="H18" s="404"/>
      <c r="S18" s="526"/>
    </row>
    <row r="19" spans="1:19" s="542" customFormat="1">
      <c r="A19" s="714"/>
      <c r="B19" s="715" t="s">
        <v>26</v>
      </c>
      <c r="C19" s="716">
        <v>0.09</v>
      </c>
      <c r="D19" s="717" t="s">
        <v>27</v>
      </c>
      <c r="E19" s="718"/>
      <c r="H19" s="404"/>
      <c r="S19" s="549"/>
    </row>
    <row r="20" spans="1:19" ht="15" thickBot="1">
      <c r="B20" s="419" t="s">
        <v>71</v>
      </c>
      <c r="C20" s="772">
        <v>0</v>
      </c>
      <c r="D20" s="539" t="s">
        <v>72</v>
      </c>
      <c r="E20" s="402"/>
      <c r="H20" s="404"/>
      <c r="S20" s="526"/>
    </row>
    <row r="21" spans="1:19">
      <c r="H21" s="404"/>
      <c r="N21" s="404"/>
      <c r="S21" s="526"/>
    </row>
    <row r="22" spans="1:19">
      <c r="H22" s="404"/>
      <c r="N22" s="404"/>
      <c r="S22" s="526"/>
    </row>
    <row r="23" spans="1:19" ht="34.200000000000003" thickBot="1">
      <c r="B23" s="550" t="s">
        <v>59</v>
      </c>
      <c r="S23" s="526"/>
    </row>
    <row r="24" spans="1:19" ht="15" thickBot="1">
      <c r="B24" s="395" t="s">
        <v>80</v>
      </c>
      <c r="C24" s="396">
        <f>C66*1000*C54/C57*(1/(C136*C137*C138))</f>
        <v>2.9610936027235844</v>
      </c>
      <c r="D24" s="397" t="s">
        <v>79</v>
      </c>
      <c r="S24" s="526"/>
    </row>
    <row r="25" spans="1:19" ht="15" thickBot="1">
      <c r="S25" s="526"/>
    </row>
    <row r="26" spans="1:19" ht="29.4" thickBot="1">
      <c r="B26" s="423" t="s">
        <v>55</v>
      </c>
      <c r="J26" s="909" t="s">
        <v>109</v>
      </c>
      <c r="K26" s="910"/>
      <c r="L26" s="910"/>
      <c r="M26" s="911"/>
      <c r="N26" s="909" t="s">
        <v>111</v>
      </c>
      <c r="O26" s="910"/>
      <c r="P26" s="910"/>
      <c r="Q26" s="911"/>
      <c r="S26" s="526"/>
    </row>
    <row r="27" spans="1:19" ht="15" thickBot="1">
      <c r="A27" s="406"/>
      <c r="B27" s="428" t="s">
        <v>58</v>
      </c>
      <c r="C27" s="424" t="s">
        <v>9</v>
      </c>
      <c r="D27" s="427" t="s">
        <v>39</v>
      </c>
      <c r="E27" s="425" t="s">
        <v>40</v>
      </c>
      <c r="F27" s="425" t="s">
        <v>68</v>
      </c>
      <c r="G27" s="425" t="s">
        <v>65</v>
      </c>
      <c r="H27" s="545" t="s">
        <v>8</v>
      </c>
      <c r="I27" s="424" t="s">
        <v>69</v>
      </c>
      <c r="J27" s="605" t="s">
        <v>43</v>
      </c>
      <c r="K27" s="606" t="s">
        <v>83</v>
      </c>
      <c r="L27" s="606" t="s">
        <v>45</v>
      </c>
      <c r="M27" s="607" t="s">
        <v>75</v>
      </c>
      <c r="N27" s="761" t="s">
        <v>43</v>
      </c>
      <c r="O27" s="606" t="s">
        <v>83</v>
      </c>
      <c r="P27" s="606" t="s">
        <v>45</v>
      </c>
      <c r="Q27" s="607" t="s">
        <v>75</v>
      </c>
      <c r="S27" s="526"/>
    </row>
    <row r="28" spans="1:19">
      <c r="A28" s="406"/>
      <c r="B28" s="436" t="s">
        <v>36</v>
      </c>
      <c r="C28" s="773">
        <f>C67</f>
        <v>0.3091556945454545</v>
      </c>
      <c r="D28" s="437"/>
      <c r="E28" s="438"/>
      <c r="F28" s="703">
        <v>1</v>
      </c>
      <c r="G28" s="515">
        <v>1</v>
      </c>
      <c r="H28" s="678">
        <f>C28*$C$54/$C$57*F28*G28</f>
        <v>6.650727272727272E-2</v>
      </c>
      <c r="I28" s="675">
        <f>H28/$H$48*G28*F28</f>
        <v>7.4728675241312645E-2</v>
      </c>
      <c r="J28" s="610">
        <f>H28</f>
        <v>6.650727272727272E-2</v>
      </c>
      <c r="K28" s="439"/>
      <c r="L28" s="439"/>
      <c r="M28" s="660"/>
      <c r="N28" s="762"/>
      <c r="O28" s="622"/>
      <c r="P28" s="622"/>
      <c r="Q28" s="623"/>
      <c r="S28" s="526"/>
    </row>
    <row r="29" spans="1:19">
      <c r="A29" s="406"/>
      <c r="B29" s="459" t="s">
        <v>192</v>
      </c>
      <c r="C29" s="460"/>
      <c r="D29" s="638" t="s">
        <v>110</v>
      </c>
      <c r="E29" s="616" t="s">
        <v>110</v>
      </c>
      <c r="F29" s="704">
        <v>1</v>
      </c>
      <c r="G29" s="516">
        <v>1</v>
      </c>
      <c r="H29" s="679">
        <f>SUM(J29:L29)</f>
        <v>0.17735864062800738</v>
      </c>
      <c r="I29" s="567">
        <f t="shared" ref="I29:I47" si="0">H29/$H$48</f>
        <v>0.19928311165428456</v>
      </c>
      <c r="J29" s="661">
        <f>H77*F29*G29+N29</f>
        <v>8.8189610685513842E-2</v>
      </c>
      <c r="K29" s="461">
        <f>H78*F29*G29+O29</f>
        <v>6.1343628202954879E-2</v>
      </c>
      <c r="L29" s="461">
        <f>H79*F29*G29+P29</f>
        <v>2.7825401739538649E-2</v>
      </c>
      <c r="M29" s="662"/>
      <c r="N29" s="763"/>
      <c r="O29" s="639"/>
      <c r="P29" s="639"/>
      <c r="Q29" s="640"/>
      <c r="S29" s="526"/>
    </row>
    <row r="30" spans="1:19">
      <c r="A30" s="406"/>
      <c r="B30" s="641" t="s">
        <v>126</v>
      </c>
      <c r="C30" s="642"/>
      <c r="D30" s="638" t="s">
        <v>110</v>
      </c>
      <c r="E30" s="616" t="s">
        <v>110</v>
      </c>
      <c r="F30" s="705">
        <v>1</v>
      </c>
      <c r="G30" s="645">
        <f>C62</f>
        <v>0.90249999999999997</v>
      </c>
      <c r="H30" s="680">
        <f>SUM(J30:L30)</f>
        <v>4.7417779696482462E-2</v>
      </c>
      <c r="I30" s="676">
        <f t="shared" si="0"/>
        <v>5.3279404105672681E-2</v>
      </c>
      <c r="J30" s="663">
        <f>E85*F30*G30+N30</f>
        <v>2.3558426546033229E-2</v>
      </c>
      <c r="K30" s="643">
        <f>E86*F30*G30+O30</f>
        <v>1.589819141854552E-2</v>
      </c>
      <c r="L30" s="643">
        <f>E87*F30*G30+P30</f>
        <v>7.9611617319037108E-3</v>
      </c>
      <c r="M30" s="664"/>
      <c r="N30" s="642"/>
      <c r="O30" s="644"/>
      <c r="P30" s="644"/>
      <c r="Q30" s="646"/>
      <c r="S30" s="526"/>
    </row>
    <row r="31" spans="1:19">
      <c r="A31" s="406"/>
      <c r="B31" s="455" t="s">
        <v>37</v>
      </c>
      <c r="C31" s="456"/>
      <c r="D31" s="638" t="s">
        <v>110</v>
      </c>
      <c r="E31" s="616" t="s">
        <v>110</v>
      </c>
      <c r="F31" s="706">
        <v>1</v>
      </c>
      <c r="G31" s="517">
        <v>1</v>
      </c>
      <c r="H31" s="681">
        <f>(SUM(J31:L31))</f>
        <v>9.3455269625360257E-2</v>
      </c>
      <c r="I31" s="572">
        <f t="shared" si="0"/>
        <v>0.10500789172428365</v>
      </c>
      <c r="J31" s="548">
        <f>C118*F31*G31+N31</f>
        <v>5.317282582132566E-2</v>
      </c>
      <c r="K31" s="457">
        <f>C119*F31*G31+O31</f>
        <v>2.0141221902017295E-2</v>
      </c>
      <c r="L31" s="457">
        <f>C120*F31*G31+P31</f>
        <v>2.0141221902017295E-2</v>
      </c>
      <c r="M31" s="601"/>
      <c r="N31" s="764"/>
      <c r="O31" s="457"/>
      <c r="P31" s="457"/>
      <c r="Q31" s="601"/>
      <c r="S31" s="526"/>
    </row>
    <row r="32" spans="1:19">
      <c r="A32" s="406"/>
      <c r="B32" s="440" t="s">
        <v>28</v>
      </c>
      <c r="C32" s="454"/>
      <c r="D32" s="638" t="s">
        <v>110</v>
      </c>
      <c r="E32" s="616" t="s">
        <v>110</v>
      </c>
      <c r="F32" s="707">
        <v>1</v>
      </c>
      <c r="G32" s="518">
        <v>1</v>
      </c>
      <c r="H32" s="682">
        <f>(SUM(J32:L32))</f>
        <v>5.023155228064171E-2</v>
      </c>
      <c r="I32" s="571">
        <f t="shared" si="0"/>
        <v>5.6441005672268264E-2</v>
      </c>
      <c r="J32" s="591">
        <f>C130*F32*G32+N32</f>
        <v>2.0499787574759357E-2</v>
      </c>
      <c r="K32" s="442">
        <f>C131*F32*G32+O32</f>
        <v>2.5920000000000002E-2</v>
      </c>
      <c r="L32" s="442">
        <f>C132*F32*G32+P32</f>
        <v>3.8117647058823526E-3</v>
      </c>
      <c r="M32" s="592"/>
      <c r="N32" s="570"/>
      <c r="O32" s="442"/>
      <c r="P32" s="442"/>
      <c r="Q32" s="592"/>
      <c r="S32" s="526"/>
    </row>
    <row r="33" spans="1:19">
      <c r="A33" s="406"/>
      <c r="B33" s="733" t="s">
        <v>42</v>
      </c>
      <c r="C33" s="734">
        <f>C162</f>
        <v>0.2175</v>
      </c>
      <c r="D33" s="735"/>
      <c r="E33" s="736"/>
      <c r="F33" s="737">
        <v>1</v>
      </c>
      <c r="G33" s="738">
        <v>1</v>
      </c>
      <c r="H33" s="739">
        <f>C33*$C$54/$C$57*F33*G33</f>
        <v>4.6789795799976795E-2</v>
      </c>
      <c r="I33" s="740">
        <f t="shared" si="0"/>
        <v>5.2573790978952144E-2</v>
      </c>
      <c r="J33" s="741"/>
      <c r="K33" s="742">
        <f>H33</f>
        <v>4.6789795799976795E-2</v>
      </c>
      <c r="L33" s="742"/>
      <c r="M33" s="743"/>
      <c r="N33" s="753"/>
      <c r="O33" s="616"/>
      <c r="P33" s="617"/>
      <c r="Q33" s="618"/>
      <c r="S33" s="526"/>
    </row>
    <row r="34" spans="1:19">
      <c r="A34" s="406"/>
      <c r="B34" s="625" t="s">
        <v>82</v>
      </c>
      <c r="C34" s="573"/>
      <c r="D34" s="626"/>
      <c r="E34" s="576"/>
      <c r="F34" s="709">
        <v>1</v>
      </c>
      <c r="G34" s="627">
        <f>C62</f>
        <v>0.90249999999999997</v>
      </c>
      <c r="H34" s="684">
        <f>(C98)*F34*G34</f>
        <v>2.2663138159010006E-2</v>
      </c>
      <c r="I34" s="575">
        <f t="shared" si="0"/>
        <v>2.5464678101875735E-2</v>
      </c>
      <c r="J34" s="666">
        <f>H34</f>
        <v>2.2663138159010006E-2</v>
      </c>
      <c r="K34" s="628"/>
      <c r="L34" s="628"/>
      <c r="M34" s="667"/>
      <c r="N34" s="753"/>
      <c r="O34" s="617"/>
      <c r="P34" s="617"/>
      <c r="Q34" s="618"/>
      <c r="S34" s="526"/>
    </row>
    <row r="35" spans="1:19">
      <c r="A35" s="406"/>
      <c r="B35" s="443" t="s">
        <v>112</v>
      </c>
      <c r="C35" s="444"/>
      <c r="D35" s="445"/>
      <c r="E35" s="446"/>
      <c r="F35" s="447">
        <v>1</v>
      </c>
      <c r="G35" s="520">
        <f>C62</f>
        <v>0.90249999999999997</v>
      </c>
      <c r="H35" s="685">
        <f>(C93)*F35*G35</f>
        <v>4.9355278657399575E-2</v>
      </c>
      <c r="I35" s="677">
        <f t="shared" si="0"/>
        <v>5.545641008852939E-2</v>
      </c>
      <c r="J35" s="602">
        <f>H35</f>
        <v>4.9355278657399575E-2</v>
      </c>
      <c r="K35" s="448"/>
      <c r="L35" s="448"/>
      <c r="M35" s="668"/>
      <c r="N35" s="765"/>
      <c r="O35" s="617"/>
      <c r="P35" s="617"/>
      <c r="Q35" s="618"/>
      <c r="S35" s="526"/>
    </row>
    <row r="36" spans="1:19">
      <c r="A36" s="406"/>
      <c r="B36" s="504" t="s">
        <v>15</v>
      </c>
      <c r="C36" s="505"/>
      <c r="D36" s="506"/>
      <c r="E36" s="507"/>
      <c r="F36" s="708">
        <v>1</v>
      </c>
      <c r="G36" s="519">
        <f>C62</f>
        <v>0.90249999999999997</v>
      </c>
      <c r="H36" s="683">
        <f>E171*F36*G36</f>
        <v>5.6406249999999984E-2</v>
      </c>
      <c r="I36" s="554">
        <f t="shared" si="0"/>
        <v>6.3378998491119498E-2</v>
      </c>
      <c r="J36" s="665"/>
      <c r="K36" s="508"/>
      <c r="L36" s="508">
        <f>H36</f>
        <v>5.6406249999999984E-2</v>
      </c>
      <c r="M36" s="603"/>
      <c r="N36" s="753"/>
      <c r="O36" s="617"/>
      <c r="P36" s="616"/>
      <c r="Q36" s="619"/>
      <c r="S36" s="526"/>
    </row>
    <row r="37" spans="1:19">
      <c r="A37" s="406"/>
      <c r="B37" s="504" t="s">
        <v>12</v>
      </c>
      <c r="C37" s="505"/>
      <c r="D37" s="506"/>
      <c r="E37" s="507"/>
      <c r="F37" s="708">
        <v>1</v>
      </c>
      <c r="G37" s="519">
        <f>C62</f>
        <v>0.90249999999999997</v>
      </c>
      <c r="H37" s="683">
        <f>E168*F37*G37</f>
        <v>4.6184780128229921E-2</v>
      </c>
      <c r="I37" s="554">
        <f t="shared" si="0"/>
        <v>5.1893985330699534E-2</v>
      </c>
      <c r="J37" s="665"/>
      <c r="K37" s="508"/>
      <c r="L37" s="508">
        <f>H37</f>
        <v>4.6184780128229921E-2</v>
      </c>
      <c r="M37" s="603"/>
      <c r="N37" s="753"/>
      <c r="O37" s="617"/>
      <c r="P37" s="616"/>
      <c r="Q37" s="619"/>
      <c r="S37" s="526"/>
    </row>
    <row r="38" spans="1:19">
      <c r="A38" s="406"/>
      <c r="B38" s="504" t="s">
        <v>10</v>
      </c>
      <c r="C38" s="505"/>
      <c r="D38" s="506"/>
      <c r="E38" s="507"/>
      <c r="F38" s="708">
        <v>1</v>
      </c>
      <c r="G38" s="519">
        <f>C62</f>
        <v>0.90249999999999997</v>
      </c>
      <c r="H38" s="683">
        <f>E170*F38*G38</f>
        <v>2.9862132352941169E-2</v>
      </c>
      <c r="I38" s="554">
        <f t="shared" si="0"/>
        <v>3.3553587436475026E-2</v>
      </c>
      <c r="J38" s="665"/>
      <c r="K38" s="508"/>
      <c r="L38" s="508">
        <f>H38</f>
        <v>2.9862132352941169E-2</v>
      </c>
      <c r="M38" s="603"/>
      <c r="N38" s="753"/>
      <c r="O38" s="617"/>
      <c r="P38" s="616"/>
      <c r="Q38" s="619"/>
      <c r="S38" s="526"/>
    </row>
    <row r="39" spans="1:19">
      <c r="A39" s="406"/>
      <c r="B39" s="504" t="s">
        <v>13</v>
      </c>
      <c r="C39" s="505"/>
      <c r="D39" s="506"/>
      <c r="E39" s="507"/>
      <c r="F39" s="708">
        <v>1</v>
      </c>
      <c r="G39" s="519">
        <f>C62</f>
        <v>0.90249999999999997</v>
      </c>
      <c r="H39" s="683">
        <f>E172*F39*G39</f>
        <v>3.61E-2</v>
      </c>
      <c r="I39" s="554">
        <f t="shared" si="0"/>
        <v>4.0562559034316492E-2</v>
      </c>
      <c r="J39" s="665"/>
      <c r="K39" s="508"/>
      <c r="L39" s="757">
        <f>H39</f>
        <v>3.61E-2</v>
      </c>
      <c r="M39" s="603"/>
      <c r="N39" s="753"/>
      <c r="O39" s="617"/>
      <c r="P39" s="616"/>
      <c r="Q39" s="619"/>
      <c r="R39" s="414"/>
      <c r="S39" s="526"/>
    </row>
    <row r="40" spans="1:19">
      <c r="A40" s="406"/>
      <c r="B40" s="504" t="s">
        <v>176</v>
      </c>
      <c r="C40" s="505">
        <v>0.18</v>
      </c>
      <c r="D40" s="506"/>
      <c r="E40" s="507"/>
      <c r="F40" s="708">
        <v>1</v>
      </c>
      <c r="G40" s="519">
        <v>1</v>
      </c>
      <c r="H40" s="683">
        <f>C40*$C$54/$C$57*F40*G40</f>
        <v>3.8722589627567E-2</v>
      </c>
      <c r="I40" s="554">
        <f t="shared" si="0"/>
        <v>4.3509344258443154E-2</v>
      </c>
      <c r="J40" s="665"/>
      <c r="K40" s="508">
        <f>H40</f>
        <v>3.8722589627567E-2</v>
      </c>
      <c r="L40" s="757"/>
      <c r="M40" s="603"/>
      <c r="N40" s="753"/>
      <c r="O40" s="616"/>
      <c r="P40" s="617"/>
      <c r="Q40" s="618"/>
      <c r="R40" s="414"/>
      <c r="S40" s="526"/>
    </row>
    <row r="41" spans="1:19">
      <c r="A41" s="406"/>
      <c r="B41" s="504" t="s">
        <v>11</v>
      </c>
      <c r="C41" s="505"/>
      <c r="D41" s="506"/>
      <c r="E41" s="507"/>
      <c r="F41" s="708">
        <v>1</v>
      </c>
      <c r="G41" s="519">
        <f>C62</f>
        <v>0.90249999999999997</v>
      </c>
      <c r="H41" s="683">
        <f>E169*F41*G41</f>
        <v>3.8157169117647056E-2</v>
      </c>
      <c r="I41" s="554">
        <f t="shared" si="0"/>
        <v>4.2874028391051436E-2</v>
      </c>
      <c r="J41" s="665"/>
      <c r="K41" s="508"/>
      <c r="L41" s="757">
        <f>H41</f>
        <v>3.8157169117647056E-2</v>
      </c>
      <c r="M41" s="603"/>
      <c r="N41" s="753"/>
      <c r="O41" s="617"/>
      <c r="P41" s="616"/>
      <c r="Q41" s="619"/>
      <c r="R41" s="408"/>
      <c r="S41" s="526"/>
    </row>
    <row r="42" spans="1:19">
      <c r="A42" s="406"/>
      <c r="B42" s="463" t="s">
        <v>38</v>
      </c>
      <c r="C42" s="464"/>
      <c r="D42" s="617" t="s">
        <v>110</v>
      </c>
      <c r="E42" s="616" t="s">
        <v>110</v>
      </c>
      <c r="F42" s="710">
        <v>1</v>
      </c>
      <c r="G42" s="521">
        <v>1</v>
      </c>
      <c r="H42" s="686">
        <f>SUM(J42:M42)</f>
        <v>5.3790028628386943E-2</v>
      </c>
      <c r="I42" s="568">
        <f t="shared" si="0"/>
        <v>6.0439368745055941E-2</v>
      </c>
      <c r="J42" s="612">
        <f>C144*F42*G42+N42</f>
        <v>1.7049807377437609E-2</v>
      </c>
      <c r="K42" s="466">
        <f>C145*F42*G42+O42</f>
        <v>1.9675052520806036E-2</v>
      </c>
      <c r="L42" s="758">
        <f>C146*F42*G42+P42</f>
        <v>1.7065168730143299E-2</v>
      </c>
      <c r="M42" s="613">
        <f>C147*F42*G42+Q42</f>
        <v>0</v>
      </c>
      <c r="N42" s="766"/>
      <c r="O42" s="629"/>
      <c r="P42" s="629"/>
      <c r="Q42" s="630"/>
      <c r="R42" s="409"/>
      <c r="S42" s="526"/>
    </row>
    <row r="43" spans="1:19">
      <c r="A43" s="406"/>
      <c r="B43" s="504" t="s">
        <v>14</v>
      </c>
      <c r="C43" s="505"/>
      <c r="D43" s="507"/>
      <c r="E43" s="507"/>
      <c r="F43" s="708">
        <v>1</v>
      </c>
      <c r="G43" s="519">
        <f>C62</f>
        <v>0.90249999999999997</v>
      </c>
      <c r="H43" s="683">
        <f>E173*F43*G43</f>
        <v>2.4885110294117645E-2</v>
      </c>
      <c r="I43" s="554">
        <f t="shared" si="0"/>
        <v>2.7961322863729196E-2</v>
      </c>
      <c r="J43" s="665"/>
      <c r="K43" s="508"/>
      <c r="L43" s="757">
        <f>H43</f>
        <v>2.4885110294117645E-2</v>
      </c>
      <c r="M43" s="603"/>
      <c r="N43" s="753"/>
      <c r="O43" s="617"/>
      <c r="P43" s="616"/>
      <c r="Q43" s="619"/>
      <c r="R43" s="409"/>
      <c r="S43" s="526"/>
    </row>
    <row r="44" spans="1:19">
      <c r="A44" s="406"/>
      <c r="B44" s="449" t="s">
        <v>29</v>
      </c>
      <c r="C44" s="450"/>
      <c r="D44" s="453"/>
      <c r="E44" s="451"/>
      <c r="F44" s="756">
        <v>1</v>
      </c>
      <c r="G44" s="522">
        <f>C62</f>
        <v>0.90249999999999997</v>
      </c>
      <c r="H44" s="687">
        <f>$C$153*F44*G44</f>
        <v>2.3889705882352941E-3</v>
      </c>
      <c r="I44" s="569">
        <f t="shared" si="0"/>
        <v>2.6842869949180027E-3</v>
      </c>
      <c r="J44" s="547"/>
      <c r="K44" s="452"/>
      <c r="L44" s="759">
        <f>H44</f>
        <v>2.3889705882352941E-3</v>
      </c>
      <c r="M44" s="604"/>
      <c r="N44" s="753"/>
      <c r="O44" s="617"/>
      <c r="P44" s="616"/>
      <c r="Q44" s="619"/>
      <c r="R44" s="409"/>
      <c r="S44" s="526"/>
    </row>
    <row r="45" spans="1:19">
      <c r="A45" s="406"/>
      <c r="B45" s="504" t="s">
        <v>77</v>
      </c>
      <c r="C45" s="505">
        <f>C178</f>
        <v>0.05</v>
      </c>
      <c r="D45" s="507"/>
      <c r="E45" s="507"/>
      <c r="F45" s="711">
        <v>1</v>
      </c>
      <c r="G45" s="519">
        <f>C62</f>
        <v>0.90249999999999997</v>
      </c>
      <c r="H45" s="683">
        <f>C45*$C$54/$C$57*F45*G45</f>
        <v>9.7075380941331162E-3</v>
      </c>
      <c r="I45" s="554">
        <f t="shared" si="0"/>
        <v>1.0907550887012485E-2</v>
      </c>
      <c r="J45" s="665"/>
      <c r="K45" s="508">
        <f>H45</f>
        <v>9.7075380941331162E-3</v>
      </c>
      <c r="L45" s="757"/>
      <c r="M45" s="603"/>
      <c r="N45" s="753"/>
      <c r="O45" s="616"/>
      <c r="P45" s="617"/>
      <c r="Q45" s="618"/>
      <c r="R45" s="409"/>
      <c r="S45" s="526"/>
    </row>
    <row r="46" spans="1:19">
      <c r="A46" s="406"/>
      <c r="B46" s="578" t="s">
        <v>73</v>
      </c>
      <c r="C46" s="555"/>
      <c r="D46" s="551"/>
      <c r="E46" s="551"/>
      <c r="F46" s="712">
        <v>1</v>
      </c>
      <c r="G46" s="673">
        <v>1</v>
      </c>
      <c r="H46" s="688">
        <f>C183*F46*G46</f>
        <v>0</v>
      </c>
      <c r="I46" s="754">
        <f t="shared" si="0"/>
        <v>0</v>
      </c>
      <c r="J46" s="669"/>
      <c r="K46" s="670"/>
      <c r="L46" s="760"/>
      <c r="M46" s="608">
        <f>H46</f>
        <v>0</v>
      </c>
      <c r="N46" s="753"/>
      <c r="O46" s="617"/>
      <c r="P46" s="617"/>
      <c r="Q46" s="619"/>
      <c r="R46" s="409"/>
      <c r="S46" s="526"/>
    </row>
    <row r="47" spans="1:19" ht="15" thickBot="1">
      <c r="A47" s="406"/>
      <c r="B47" s="579" t="s">
        <v>76</v>
      </c>
      <c r="C47" s="564"/>
      <c r="D47" s="755"/>
      <c r="E47" s="755"/>
      <c r="F47" s="713">
        <v>1</v>
      </c>
      <c r="G47" s="674">
        <v>1</v>
      </c>
      <c r="H47" s="689">
        <f>C187*F47*G47</f>
        <v>0</v>
      </c>
      <c r="I47" s="752">
        <f t="shared" si="0"/>
        <v>0</v>
      </c>
      <c r="J47" s="671"/>
      <c r="K47" s="672"/>
      <c r="L47" s="672"/>
      <c r="M47" s="609">
        <f>H47</f>
        <v>0</v>
      </c>
      <c r="N47" s="767"/>
      <c r="O47" s="620"/>
      <c r="P47" s="620"/>
      <c r="Q47" s="621"/>
      <c r="R47" s="409"/>
      <c r="S47" s="526"/>
    </row>
    <row r="48" spans="1:19" ht="15" thickBot="1">
      <c r="A48" s="406"/>
      <c r="B48" s="429" t="s">
        <v>6</v>
      </c>
      <c r="C48" s="577"/>
      <c r="D48" s="403"/>
      <c r="E48" s="403"/>
      <c r="F48" s="403"/>
      <c r="G48" s="403"/>
      <c r="H48" s="435">
        <f>SUM(H28:H47)</f>
        <v>0.88998329640540919</v>
      </c>
      <c r="I48" s="552">
        <f t="shared" ref="I48:M48" si="1">SUM(I28:I47)</f>
        <v>0.99999999999999978</v>
      </c>
      <c r="J48" s="611">
        <f t="shared" si="1"/>
        <v>0.34099614754875202</v>
      </c>
      <c r="K48" s="614">
        <f t="shared" si="1"/>
        <v>0.23819801756600062</v>
      </c>
      <c r="L48" s="614">
        <f t="shared" si="1"/>
        <v>0.31078913129065638</v>
      </c>
      <c r="M48" s="615">
        <f t="shared" si="1"/>
        <v>0</v>
      </c>
      <c r="N48" s="418"/>
      <c r="O48" s="614"/>
      <c r="P48" s="614"/>
      <c r="Q48" s="615"/>
      <c r="R48" s="409"/>
      <c r="S48" s="526"/>
    </row>
    <row r="49" spans="1:19">
      <c r="A49" s="406"/>
      <c r="H49" s="404"/>
      <c r="K49" s="414"/>
      <c r="Q49" s="409"/>
      <c r="R49" s="409"/>
      <c r="S49" s="526"/>
    </row>
    <row r="50" spans="1:19">
      <c r="A50" s="406"/>
      <c r="Q50" s="409"/>
      <c r="R50" s="409"/>
      <c r="S50" s="526"/>
    </row>
    <row r="51" spans="1:19" ht="28.8">
      <c r="A51" s="406"/>
      <c r="B51" s="543" t="s">
        <v>57</v>
      </c>
      <c r="C51" s="420"/>
      <c r="D51" s="420"/>
      <c r="E51" s="420"/>
      <c r="F51" s="420"/>
      <c r="G51" s="544"/>
      <c r="H51" s="420"/>
      <c r="I51" s="420"/>
      <c r="J51" s="420"/>
      <c r="Q51" s="409"/>
      <c r="R51" s="409"/>
      <c r="S51" s="526"/>
    </row>
    <row r="52" spans="1:19">
      <c r="A52" s="406"/>
      <c r="E52" s="526"/>
      <c r="Q52" s="409"/>
      <c r="R52" s="409"/>
      <c r="S52" s="526"/>
    </row>
    <row r="53" spans="1:19">
      <c r="A53" s="406"/>
      <c r="B53" s="776" t="s">
        <v>203</v>
      </c>
      <c r="C53" s="775"/>
      <c r="D53" s="777"/>
      <c r="H53" s="404"/>
      <c r="Q53" s="409"/>
      <c r="R53" s="409"/>
      <c r="S53" s="526"/>
    </row>
    <row r="54" spans="1:19">
      <c r="A54" s="406"/>
      <c r="B54" s="778" t="s">
        <v>197</v>
      </c>
      <c r="C54" s="779">
        <v>72</v>
      </c>
      <c r="D54" s="780" t="s">
        <v>200</v>
      </c>
      <c r="H54" s="748"/>
      <c r="Q54" s="409"/>
      <c r="R54" s="409"/>
      <c r="S54" s="526"/>
    </row>
    <row r="55" spans="1:19">
      <c r="A55" s="406"/>
      <c r="B55" s="405" t="s">
        <v>196</v>
      </c>
      <c r="C55" s="526">
        <v>89</v>
      </c>
      <c r="D55" s="467" t="s">
        <v>1</v>
      </c>
      <c r="M55" s="404"/>
      <c r="Q55" s="409"/>
      <c r="R55" s="409"/>
      <c r="S55" s="526"/>
    </row>
    <row r="56" spans="1:19">
      <c r="A56" s="406"/>
      <c r="B56" s="406" t="s">
        <v>198</v>
      </c>
      <c r="C56" s="541">
        <f>C54*0.156^2/(C55/100)</f>
        <v>1.9687550561797753</v>
      </c>
      <c r="D56" s="467" t="s">
        <v>199</v>
      </c>
      <c r="H56" s="722"/>
      <c r="M56" s="404"/>
      <c r="Q56" s="410"/>
      <c r="R56" s="410"/>
      <c r="S56" s="526"/>
    </row>
    <row r="57" spans="1:19">
      <c r="A57" s="406"/>
      <c r="B57" s="747" t="s">
        <v>201</v>
      </c>
      <c r="C57" s="774">
        <f>C56*1000*$C$14/100</f>
        <v>334.68835955056181</v>
      </c>
      <c r="D57" s="746" t="s">
        <v>202</v>
      </c>
      <c r="M57" s="404"/>
      <c r="Q57" s="414"/>
      <c r="R57" s="414"/>
      <c r="S57" s="526"/>
    </row>
    <row r="58" spans="1:19">
      <c r="A58" s="406"/>
      <c r="M58" s="404"/>
      <c r="Q58" s="414"/>
      <c r="R58" s="414"/>
      <c r="S58" s="526"/>
    </row>
    <row r="59" spans="1:19">
      <c r="A59" s="406"/>
      <c r="B59" s="487" t="s">
        <v>65</v>
      </c>
      <c r="C59" s="488"/>
      <c r="D59" s="489"/>
      <c r="M59" s="404"/>
      <c r="N59" s="414"/>
      <c r="O59" s="414"/>
      <c r="P59" s="414"/>
      <c r="Q59" s="414"/>
      <c r="R59" s="414"/>
      <c r="S59" s="526"/>
    </row>
    <row r="60" spans="1:19">
      <c r="A60" s="406"/>
      <c r="B60" s="405" t="s">
        <v>49</v>
      </c>
      <c r="C60" s="526">
        <v>2</v>
      </c>
      <c r="D60" s="467" t="s">
        <v>31</v>
      </c>
      <c r="M60" s="404"/>
      <c r="N60" s="414"/>
      <c r="O60" s="414"/>
      <c r="P60" s="414"/>
      <c r="Q60" s="414"/>
      <c r="R60" s="414"/>
      <c r="S60" s="526"/>
    </row>
    <row r="61" spans="1:19">
      <c r="A61" s="406"/>
      <c r="B61" s="405" t="s">
        <v>48</v>
      </c>
      <c r="C61" s="526">
        <v>5</v>
      </c>
      <c r="D61" s="467" t="s">
        <v>1</v>
      </c>
      <c r="E61" s="402"/>
      <c r="H61" s="404"/>
      <c r="N61" s="414"/>
      <c r="O61" s="414"/>
      <c r="P61" s="414"/>
      <c r="Q61" s="414"/>
      <c r="R61" s="414"/>
      <c r="S61" s="526"/>
    </row>
    <row r="62" spans="1:19">
      <c r="A62" s="406"/>
      <c r="B62" s="525" t="s">
        <v>47</v>
      </c>
      <c r="C62" s="434">
        <f>(1-C61/100)^C60</f>
        <v>0.90249999999999997</v>
      </c>
      <c r="D62" s="524" t="s">
        <v>31</v>
      </c>
      <c r="M62" s="404"/>
      <c r="N62" s="414"/>
      <c r="O62" s="414"/>
      <c r="P62" s="414"/>
      <c r="Q62" s="414"/>
      <c r="R62" s="414"/>
      <c r="S62" s="526"/>
    </row>
    <row r="63" spans="1:19">
      <c r="A63" s="406"/>
      <c r="M63" s="404"/>
      <c r="N63" s="414"/>
      <c r="O63" s="414"/>
      <c r="P63" s="414"/>
      <c r="Q63" s="414"/>
      <c r="R63" s="414"/>
      <c r="S63" s="526"/>
    </row>
    <row r="64" spans="1:19">
      <c r="A64" s="406"/>
      <c r="B64" s="484" t="s">
        <v>36</v>
      </c>
      <c r="C64" s="485"/>
      <c r="D64" s="486"/>
      <c r="N64" s="414"/>
      <c r="O64" s="414"/>
      <c r="P64" s="414"/>
      <c r="Q64" s="414"/>
      <c r="R64" s="414"/>
      <c r="S64" s="526"/>
    </row>
    <row r="65" spans="1:19">
      <c r="A65" s="406"/>
      <c r="B65" s="468" t="s">
        <v>18</v>
      </c>
      <c r="C65" s="537">
        <v>2329</v>
      </c>
      <c r="D65" s="470" t="s">
        <v>20</v>
      </c>
      <c r="K65" s="404"/>
      <c r="N65" s="414"/>
      <c r="O65" s="414"/>
      <c r="P65" s="414"/>
      <c r="Q65" s="414"/>
      <c r="R65" s="414"/>
      <c r="S65" s="526"/>
    </row>
    <row r="66" spans="1:19" ht="15" customHeight="1">
      <c r="A66" s="406"/>
      <c r="B66" s="468" t="s">
        <v>204</v>
      </c>
      <c r="C66" s="469">
        <f>0.156*0.156*(C15/10^6/C16)*C65</f>
        <v>1.236622778181818E-2</v>
      </c>
      <c r="D66" s="470" t="s">
        <v>19</v>
      </c>
      <c r="N66" s="414"/>
      <c r="O66" s="414"/>
      <c r="P66" s="414"/>
      <c r="Q66" s="414"/>
      <c r="R66" s="414"/>
      <c r="S66" s="526"/>
    </row>
    <row r="67" spans="1:19">
      <c r="A67" s="406"/>
      <c r="B67" s="781" t="s">
        <v>54</v>
      </c>
      <c r="C67" s="782">
        <f>C66*C17</f>
        <v>0.3091556945454545</v>
      </c>
      <c r="D67" s="783" t="s">
        <v>21</v>
      </c>
      <c r="M67" s="414"/>
      <c r="N67" s="414"/>
      <c r="O67" s="409"/>
      <c r="P67" s="414"/>
      <c r="Q67" s="414"/>
      <c r="R67" s="414"/>
      <c r="S67" s="526"/>
    </row>
    <row r="68" spans="1:19">
      <c r="A68" s="406"/>
      <c r="J68" s="526"/>
      <c r="K68" s="526"/>
      <c r="M68" s="414"/>
      <c r="N68" s="414"/>
      <c r="O68" s="540"/>
      <c r="P68" s="414"/>
      <c r="Q68" s="414"/>
      <c r="R68" s="414"/>
      <c r="S68" s="526"/>
    </row>
    <row r="69" spans="1:19">
      <c r="A69" s="406"/>
      <c r="B69" s="495" t="s">
        <v>192</v>
      </c>
      <c r="C69" s="496"/>
      <c r="D69" s="497"/>
      <c r="E69" s="497"/>
      <c r="F69" s="497"/>
      <c r="G69" s="497"/>
      <c r="H69" s="497"/>
      <c r="I69" s="497"/>
      <c r="J69" s="498"/>
      <c r="K69" s="414"/>
      <c r="L69" s="414"/>
      <c r="M69" s="414"/>
      <c r="N69" s="414"/>
      <c r="O69" s="540"/>
      <c r="P69" s="414"/>
      <c r="Q69" s="414"/>
      <c r="R69" s="414"/>
      <c r="S69" s="526"/>
    </row>
    <row r="70" spans="1:19">
      <c r="A70" s="406"/>
      <c r="B70" s="462" t="s">
        <v>128</v>
      </c>
      <c r="C70" s="460">
        <v>347</v>
      </c>
      <c r="D70" s="460" t="s">
        <v>129</v>
      </c>
      <c r="E70" s="460"/>
      <c r="F70" s="460"/>
      <c r="G70" s="460"/>
      <c r="H70" s="460"/>
      <c r="I70" s="460"/>
      <c r="J70" s="491"/>
      <c r="K70" s="414"/>
      <c r="L70" s="414"/>
      <c r="M70" s="414"/>
      <c r="N70" s="414"/>
      <c r="O70" s="540"/>
      <c r="P70" s="414"/>
      <c r="Q70" s="414"/>
      <c r="R70" s="414"/>
      <c r="S70" s="526"/>
    </row>
    <row r="71" spans="1:19">
      <c r="A71" s="406"/>
      <c r="B71" s="462" t="s">
        <v>130</v>
      </c>
      <c r="C71" s="635">
        <v>14.4</v>
      </c>
      <c r="D71" s="460" t="s">
        <v>31</v>
      </c>
      <c r="E71" s="460"/>
      <c r="F71" s="460"/>
      <c r="G71" s="460"/>
      <c r="H71" s="460"/>
      <c r="I71" s="460"/>
      <c r="J71" s="491"/>
      <c r="K71" s="414"/>
      <c r="L71" s="414"/>
      <c r="M71" s="414"/>
      <c r="N71" s="414"/>
      <c r="O71" s="540"/>
      <c r="P71" s="414"/>
      <c r="Q71" s="414"/>
      <c r="R71" s="414"/>
      <c r="S71" s="526"/>
    </row>
    <row r="72" spans="1:19">
      <c r="A72" s="406"/>
      <c r="B72" s="462" t="s">
        <v>90</v>
      </c>
      <c r="C72" s="514">
        <f>C70*10^6/(C71/100*1000)</f>
        <v>2409722.2222222215</v>
      </c>
      <c r="D72" s="460" t="s">
        <v>34</v>
      </c>
      <c r="E72" s="460"/>
      <c r="F72" s="460"/>
      <c r="G72" s="460"/>
      <c r="H72" s="460"/>
      <c r="I72" s="460"/>
      <c r="J72" s="491"/>
      <c r="K72" s="414"/>
      <c r="L72" s="414"/>
      <c r="M72" s="414"/>
      <c r="N72" s="414"/>
      <c r="O72" s="540"/>
      <c r="P72" s="414"/>
      <c r="Q72" s="526"/>
      <c r="S72" s="526"/>
    </row>
    <row r="73" spans="1:19">
      <c r="A73" s="406"/>
      <c r="B73" s="462" t="s">
        <v>268</v>
      </c>
      <c r="C73" s="460">
        <v>5</v>
      </c>
      <c r="D73" s="460" t="s">
        <v>133</v>
      </c>
      <c r="E73" s="460"/>
      <c r="F73" s="460"/>
      <c r="G73" s="460"/>
      <c r="H73" s="460"/>
      <c r="I73" s="460"/>
      <c r="J73" s="491"/>
      <c r="K73" s="414"/>
      <c r="L73" s="414"/>
      <c r="M73" s="414"/>
      <c r="N73" s="414"/>
      <c r="O73" s="540"/>
      <c r="P73" s="414"/>
      <c r="Q73" s="526"/>
      <c r="S73" s="526"/>
    </row>
    <row r="74" spans="1:19">
      <c r="A74" s="406"/>
      <c r="B74" s="462" t="s">
        <v>269</v>
      </c>
      <c r="C74" s="634">
        <v>39</v>
      </c>
      <c r="D74" s="460" t="s">
        <v>133</v>
      </c>
      <c r="E74" s="460"/>
      <c r="F74" s="460"/>
      <c r="G74" s="460"/>
      <c r="H74" s="460"/>
      <c r="I74" s="460"/>
      <c r="J74" s="491"/>
      <c r="K74" s="414"/>
      <c r="L74" s="414"/>
      <c r="M74" s="414"/>
      <c r="N74" s="414"/>
      <c r="O74" s="540"/>
      <c r="P74" s="414"/>
      <c r="Q74" s="526"/>
      <c r="S74" s="526"/>
    </row>
    <row r="75" spans="1:19">
      <c r="A75" s="406"/>
      <c r="B75" s="750"/>
      <c r="C75" s="460"/>
      <c r="D75" s="460"/>
      <c r="E75" s="460"/>
      <c r="F75" s="460"/>
      <c r="G75" s="460"/>
      <c r="H75" s="460"/>
      <c r="I75" s="460"/>
      <c r="J75" s="491"/>
      <c r="K75" s="414"/>
      <c r="L75" s="414"/>
      <c r="M75" s="414"/>
      <c r="N75" s="749"/>
      <c r="O75" s="414"/>
      <c r="P75" s="414"/>
      <c r="Q75" s="526"/>
      <c r="S75" s="526"/>
    </row>
    <row r="76" spans="1:19">
      <c r="A76" s="406"/>
      <c r="B76" s="462"/>
      <c r="C76" s="460" t="s">
        <v>138</v>
      </c>
      <c r="D76" s="460" t="s">
        <v>234</v>
      </c>
      <c r="E76" s="460" t="s">
        <v>235</v>
      </c>
      <c r="F76" s="460" t="s">
        <v>236</v>
      </c>
      <c r="G76" s="460" t="s">
        <v>205</v>
      </c>
      <c r="H76" s="492" t="s">
        <v>135</v>
      </c>
      <c r="I76" s="460" t="s">
        <v>270</v>
      </c>
      <c r="J76" s="491"/>
      <c r="K76" s="414"/>
      <c r="L76" s="414"/>
      <c r="M76" s="414"/>
      <c r="N76" s="414"/>
      <c r="O76" s="751"/>
      <c r="P76" s="414"/>
      <c r="Q76" s="526"/>
      <c r="S76" s="526"/>
    </row>
    <row r="77" spans="1:19">
      <c r="A77" s="406"/>
      <c r="B77" s="462" t="s">
        <v>132</v>
      </c>
      <c r="C77" s="634">
        <f>28000+18500</f>
        <v>46500</v>
      </c>
      <c r="D77" s="514">
        <f>(80.5*0.85+16+76.8*0.85+13)*1.27*1000000*0.9*1.15</f>
        <v>213867587.24999997</v>
      </c>
      <c r="E77" s="514">
        <f>(80.5*0.85+16*0+76.8*0.85+13*0)*1.27*1000000*0.9*1.15/C73</f>
        <v>35149707.449999988</v>
      </c>
      <c r="F77" s="514">
        <f>(80.5*0.85*0+16*1+76.8*0.85*0+13*1)*1.27*1000000*0.9*1.15/C74</f>
        <v>977411.5384615385</v>
      </c>
      <c r="G77" s="635">
        <f>(E77+F77)/$C$72</f>
        <v>14.992233816537352</v>
      </c>
      <c r="H77" s="637">
        <f>G77/(($C$14/100)*1000)</f>
        <v>8.8189610685513842E-2</v>
      </c>
      <c r="I77" s="490">
        <f>D77/1000000/$C$70</f>
        <v>0.61633310446685863</v>
      </c>
      <c r="J77" s="491"/>
      <c r="K77" s="414"/>
      <c r="L77" s="414"/>
      <c r="M77" s="414"/>
      <c r="N77" s="414"/>
      <c r="O77" s="751"/>
      <c r="P77" s="414"/>
      <c r="Q77" s="526"/>
      <c r="S77" s="526"/>
    </row>
    <row r="78" spans="1:19">
      <c r="A78" s="406"/>
      <c r="B78" s="462" t="s">
        <v>44</v>
      </c>
      <c r="C78" s="634">
        <v>18000</v>
      </c>
      <c r="D78" s="514">
        <f>(110*0.85+16.3)*1.27*1000000*0.9*1.15</f>
        <v>144326610</v>
      </c>
      <c r="E78" s="514">
        <f>(110*0.85+16.3*0)*1.27*1000000*0.9*1.15/C73</f>
        <v>24580214.999999996</v>
      </c>
      <c r="F78" s="514">
        <f>(110*0.85*0+16.3*1)*1.27*1000000*0.9*1.15/C74</f>
        <v>549372.69230769225</v>
      </c>
      <c r="G78" s="635">
        <f t="shared" ref="G78:G79" si="2">(E78+F78)/$C$72</f>
        <v>10.428416794502329</v>
      </c>
      <c r="H78" s="637">
        <f>G78/(($C$14/100)*1000)</f>
        <v>6.1343628202954879E-2</v>
      </c>
      <c r="I78" s="490">
        <f t="shared" ref="I78:I79" si="3">D78/1000000/$C$70</f>
        <v>0.41592682997118152</v>
      </c>
      <c r="J78" s="491"/>
      <c r="K78" s="414"/>
      <c r="L78" s="414"/>
      <c r="M78" s="414"/>
      <c r="N78" s="414"/>
      <c r="O78" s="751"/>
      <c r="P78" s="414"/>
      <c r="Q78" s="526"/>
      <c r="S78" s="526"/>
    </row>
    <row r="79" spans="1:19">
      <c r="A79" s="406"/>
      <c r="B79" s="462" t="s">
        <v>45</v>
      </c>
      <c r="C79" s="634">
        <v>20000</v>
      </c>
      <c r="D79" s="514">
        <f>(73.5*0.85+20)*1.27*1000000*0.6*1.15</f>
        <v>72272842.49999997</v>
      </c>
      <c r="E79" s="514">
        <f>(73.5*0.85+20*0)*1.27*1000000*0.6*1.15/C73</f>
        <v>10949368.499999998</v>
      </c>
      <c r="F79" s="514">
        <f>(73.5*0.85*0+20*1)*1.27*1000000*0.6*1.15/C74</f>
        <v>449384.61538461538</v>
      </c>
      <c r="G79" s="635">
        <f t="shared" si="2"/>
        <v>4.7303182957215704</v>
      </c>
      <c r="H79" s="637">
        <f>G79/(($C$14/100)*1000)</f>
        <v>2.7825401739538649E-2</v>
      </c>
      <c r="I79" s="490">
        <f t="shared" si="3"/>
        <v>0.20827908501440912</v>
      </c>
      <c r="J79" s="491"/>
      <c r="K79" s="414"/>
      <c r="L79" s="414"/>
      <c r="M79" s="414"/>
      <c r="N79" s="414"/>
      <c r="O79" s="751"/>
      <c r="P79" s="414"/>
      <c r="Q79" s="526"/>
      <c r="S79" s="526"/>
    </row>
    <row r="80" spans="1:19">
      <c r="A80" s="406"/>
      <c r="B80" s="493"/>
      <c r="C80" s="494" t="s">
        <v>194</v>
      </c>
      <c r="D80" s="808">
        <f>SUM(D77:D79)/1000000/C70</f>
        <v>1.2405390194524497</v>
      </c>
      <c r="E80" s="494"/>
      <c r="F80" s="494"/>
      <c r="G80" s="809" t="s">
        <v>136</v>
      </c>
      <c r="H80" s="810">
        <f>SUM(H77:H79)</f>
        <v>0.17735864062800738</v>
      </c>
      <c r="I80" s="494"/>
      <c r="J80" s="793"/>
      <c r="K80" s="414"/>
      <c r="L80" s="414"/>
      <c r="M80" s="414"/>
      <c r="N80" s="414"/>
      <c r="O80" s="540"/>
      <c r="P80" s="414"/>
      <c r="Q80" s="526"/>
      <c r="S80" s="526"/>
    </row>
    <row r="81" spans="1:19">
      <c r="A81" s="406"/>
      <c r="J81" s="526"/>
      <c r="K81" s="526"/>
      <c r="M81" s="414"/>
      <c r="N81" s="414"/>
      <c r="O81" s="540"/>
      <c r="P81" s="414"/>
      <c r="Q81" s="414"/>
      <c r="R81" s="414"/>
      <c r="S81" s="526"/>
    </row>
    <row r="82" spans="1:19">
      <c r="A82" s="406"/>
      <c r="B82" s="647" t="s">
        <v>126</v>
      </c>
      <c r="C82" s="648"/>
      <c r="D82" s="648"/>
      <c r="E82" s="649"/>
      <c r="F82" s="411"/>
      <c r="G82" s="411"/>
      <c r="H82" s="411"/>
      <c r="I82" s="411"/>
      <c r="J82" s="414"/>
      <c r="K82" s="414"/>
      <c r="L82" s="414"/>
      <c r="M82" s="409"/>
      <c r="N82" s="633"/>
      <c r="O82" s="633"/>
      <c r="P82" s="633"/>
      <c r="S82" s="526"/>
    </row>
    <row r="83" spans="1:19">
      <c r="A83" s="406"/>
      <c r="B83" s="553" t="s">
        <v>139</v>
      </c>
      <c r="C83" s="566">
        <v>0.05</v>
      </c>
      <c r="D83" s="651" t="s">
        <v>31</v>
      </c>
      <c r="E83" s="652"/>
      <c r="F83" s="411"/>
      <c r="G83" s="411"/>
      <c r="H83" s="411"/>
      <c r="I83" s="411"/>
      <c r="J83" s="414"/>
      <c r="K83" s="414"/>
      <c r="L83" s="414"/>
      <c r="M83" s="409"/>
      <c r="N83" s="633"/>
      <c r="O83" s="633"/>
      <c r="P83" s="633"/>
      <c r="S83" s="526"/>
    </row>
    <row r="84" spans="1:19">
      <c r="A84" s="406"/>
      <c r="B84" s="553"/>
      <c r="C84" s="566" t="s">
        <v>134</v>
      </c>
      <c r="D84" s="566" t="s">
        <v>205</v>
      </c>
      <c r="E84" s="653" t="s">
        <v>135</v>
      </c>
      <c r="F84" s="411"/>
      <c r="G84" s="411"/>
      <c r="H84" s="411"/>
      <c r="I84" s="411"/>
      <c r="J84" s="414"/>
      <c r="K84" s="414"/>
      <c r="L84" s="414"/>
      <c r="M84" s="409"/>
      <c r="N84" s="633"/>
      <c r="O84" s="633"/>
      <c r="P84" s="633"/>
      <c r="S84" s="526"/>
    </row>
    <row r="85" spans="1:19">
      <c r="A85" s="406"/>
      <c r="B85" s="553" t="s">
        <v>132</v>
      </c>
      <c r="C85" s="654">
        <f>$C$83*D77</f>
        <v>10693379.362499999</v>
      </c>
      <c r="D85" s="650">
        <f>C85/$C$72</f>
        <v>4.437598352161384</v>
      </c>
      <c r="E85" s="655">
        <f>D85/(($C$14/100)*1000)</f>
        <v>2.6103519718596375E-2</v>
      </c>
      <c r="F85" s="411"/>
      <c r="G85" s="411"/>
      <c r="H85" s="411"/>
      <c r="I85" s="411"/>
      <c r="J85" s="414"/>
      <c r="K85" s="414"/>
      <c r="L85" s="414"/>
      <c r="M85" s="409"/>
      <c r="N85" s="633"/>
      <c r="O85" s="633"/>
      <c r="P85" s="633"/>
      <c r="S85" s="526"/>
    </row>
    <row r="86" spans="1:19">
      <c r="A86" s="406"/>
      <c r="B86" s="553" t="s">
        <v>44</v>
      </c>
      <c r="C86" s="654">
        <f>$C$83*D78</f>
        <v>7216330.5</v>
      </c>
      <c r="D86" s="650">
        <f>C86/$C$72</f>
        <v>2.9946731757925082</v>
      </c>
      <c r="E86" s="655">
        <f>D86/(($C$14/100)*1000)</f>
        <v>1.7615724563485341E-2</v>
      </c>
      <c r="F86" s="411"/>
      <c r="G86" s="411"/>
      <c r="H86" s="411"/>
      <c r="I86" s="411"/>
      <c r="J86" s="414"/>
      <c r="K86" s="414"/>
      <c r="L86" s="414"/>
      <c r="M86" s="409"/>
      <c r="N86" s="633"/>
      <c r="O86" s="633"/>
      <c r="P86" s="633"/>
      <c r="S86" s="526"/>
    </row>
    <row r="87" spans="1:19">
      <c r="A87" s="406"/>
      <c r="B87" s="553" t="s">
        <v>45</v>
      </c>
      <c r="C87" s="654">
        <f>$C$83*D79</f>
        <v>3613642.1249999986</v>
      </c>
      <c r="D87" s="650">
        <f>C87/$C$72</f>
        <v>1.4996094121037462</v>
      </c>
      <c r="E87" s="655">
        <f>D87/(($C$14/100)*1000)</f>
        <v>8.8212318359043897E-3</v>
      </c>
      <c r="F87" s="411"/>
      <c r="G87" s="411"/>
      <c r="H87" s="411"/>
      <c r="I87" s="411"/>
      <c r="J87" s="414"/>
      <c r="K87" s="414"/>
      <c r="L87" s="414"/>
      <c r="M87" s="409"/>
      <c r="N87" s="633"/>
      <c r="O87" s="633"/>
      <c r="P87" s="633"/>
      <c r="S87" s="526"/>
    </row>
    <row r="88" spans="1:19">
      <c r="A88" s="406"/>
      <c r="B88" s="656"/>
      <c r="C88" s="657"/>
      <c r="D88" s="658" t="s">
        <v>136</v>
      </c>
      <c r="E88" s="659">
        <f>SUM(E85:E87)</f>
        <v>5.254047611798611E-2</v>
      </c>
      <c r="F88" s="411"/>
      <c r="G88" s="411"/>
      <c r="H88" s="411"/>
      <c r="I88" s="411"/>
      <c r="J88" s="414"/>
      <c r="K88" s="414"/>
      <c r="L88" s="414"/>
      <c r="M88" s="409"/>
      <c r="N88" s="633"/>
      <c r="O88" s="633"/>
      <c r="P88" s="633"/>
      <c r="S88" s="526"/>
    </row>
    <row r="89" spans="1:19">
      <c r="A89" s="406"/>
      <c r="B89" s="411"/>
      <c r="C89" s="411"/>
      <c r="D89" s="411"/>
      <c r="E89" s="411"/>
      <c r="F89" s="411"/>
      <c r="G89" s="411"/>
      <c r="H89" s="411"/>
      <c r="I89" s="411"/>
      <c r="J89" s="414"/>
      <c r="K89" s="414"/>
      <c r="L89" s="414"/>
      <c r="M89" s="409"/>
      <c r="N89" s="633"/>
      <c r="O89" s="633"/>
      <c r="P89" s="633"/>
      <c r="S89" s="526"/>
    </row>
    <row r="90" spans="1:19">
      <c r="A90" s="406"/>
      <c r="B90" s="481" t="s">
        <v>112</v>
      </c>
      <c r="C90" s="482"/>
      <c r="D90" s="483"/>
      <c r="E90" s="411"/>
      <c r="F90" s="411"/>
      <c r="G90" s="411"/>
      <c r="H90" s="411"/>
      <c r="I90" s="411"/>
      <c r="J90" s="414"/>
      <c r="K90" s="414"/>
      <c r="L90" s="414"/>
      <c r="M90" s="409"/>
      <c r="N90" s="633"/>
      <c r="O90" s="633"/>
      <c r="P90" s="633"/>
      <c r="S90" s="526"/>
    </row>
    <row r="91" spans="1:19">
      <c r="A91" s="406"/>
      <c r="B91" s="830" t="s">
        <v>240</v>
      </c>
      <c r="C91" s="828">
        <f>21336000*1.05</f>
        <v>22402800</v>
      </c>
      <c r="D91" s="692" t="s">
        <v>33</v>
      </c>
      <c r="E91" s="411"/>
      <c r="F91" s="411"/>
      <c r="G91" s="411"/>
      <c r="H91" s="411"/>
      <c r="I91" s="411"/>
      <c r="J91" s="414"/>
      <c r="K91" s="414"/>
      <c r="L91" s="414"/>
      <c r="M91" s="409"/>
      <c r="N91" s="633"/>
      <c r="O91" s="633"/>
      <c r="P91" s="633"/>
      <c r="S91" s="526"/>
    </row>
    <row r="92" spans="1:19">
      <c r="A92" s="406"/>
      <c r="B92" s="446" t="s">
        <v>137</v>
      </c>
      <c r="C92" s="693">
        <f>C91/C72</f>
        <v>9.2968391930835761</v>
      </c>
      <c r="D92" s="471" t="s">
        <v>206</v>
      </c>
      <c r="E92" s="411"/>
      <c r="F92" s="411"/>
      <c r="G92" s="411"/>
      <c r="H92" s="411"/>
      <c r="I92" s="411"/>
      <c r="J92" s="414"/>
      <c r="K92" s="414"/>
      <c r="L92" s="414"/>
      <c r="M92" s="409"/>
      <c r="N92" s="633"/>
      <c r="O92" s="633"/>
      <c r="P92" s="633"/>
      <c r="S92" s="526"/>
    </row>
    <row r="93" spans="1:19">
      <c r="A93" s="406"/>
      <c r="B93" s="690" t="s">
        <v>32</v>
      </c>
      <c r="C93" s="694">
        <f>C92/(($C$14/100)*1000)</f>
        <v>5.4687289371079861E-2</v>
      </c>
      <c r="D93" s="691" t="s">
        <v>3</v>
      </c>
      <c r="E93" s="411"/>
      <c r="F93" s="411"/>
      <c r="G93" s="411"/>
      <c r="H93" s="411"/>
      <c r="I93" s="411"/>
      <c r="J93" s="414"/>
      <c r="K93" s="414"/>
      <c r="L93" s="414"/>
      <c r="M93" s="409"/>
      <c r="N93" s="633"/>
      <c r="O93" s="633"/>
      <c r="P93" s="633"/>
      <c r="S93" s="526"/>
    </row>
    <row r="94" spans="1:19">
      <c r="A94" s="406"/>
      <c r="B94" s="411"/>
      <c r="C94" s="411"/>
      <c r="D94" s="411"/>
      <c r="E94" s="411"/>
      <c r="F94" s="411"/>
      <c r="G94" s="411"/>
      <c r="H94" s="411"/>
      <c r="I94" s="744"/>
      <c r="J94" s="414"/>
      <c r="K94" s="414"/>
      <c r="L94" s="414"/>
      <c r="M94" s="409"/>
      <c r="N94" s="633"/>
      <c r="O94" s="633"/>
      <c r="P94" s="633"/>
      <c r="S94" s="526"/>
    </row>
    <row r="95" spans="1:19">
      <c r="A95" s="406"/>
      <c r="B95" s="695" t="s">
        <v>82</v>
      </c>
      <c r="C95" s="696"/>
      <c r="D95" s="697"/>
      <c r="E95" s="411"/>
      <c r="F95" s="411"/>
      <c r="G95" s="411"/>
      <c r="H95" s="411"/>
      <c r="I95" s="745"/>
      <c r="J95" s="414"/>
      <c r="K95" s="414"/>
      <c r="L95" s="414"/>
      <c r="M95" s="409"/>
      <c r="N95" s="633"/>
      <c r="O95" s="633"/>
      <c r="P95" s="633"/>
      <c r="S95" s="526"/>
    </row>
    <row r="96" spans="1:19">
      <c r="A96" s="406"/>
      <c r="B96" s="698" t="s">
        <v>240</v>
      </c>
      <c r="C96" s="829">
        <v>10287000</v>
      </c>
      <c r="D96" s="699" t="s">
        <v>33</v>
      </c>
      <c r="E96" s="411"/>
      <c r="F96" s="411"/>
      <c r="G96" s="411"/>
      <c r="H96" s="411"/>
      <c r="I96" s="411"/>
      <c r="J96" s="414"/>
      <c r="K96" s="414"/>
      <c r="L96" s="414"/>
      <c r="M96" s="409"/>
      <c r="N96" s="633"/>
      <c r="O96" s="633"/>
      <c r="P96" s="633"/>
      <c r="S96" s="526"/>
    </row>
    <row r="97" spans="1:19">
      <c r="A97" s="406"/>
      <c r="B97" s="576" t="s">
        <v>137</v>
      </c>
      <c r="C97" s="574">
        <f>C96/C72</f>
        <v>4.2689567723342954</v>
      </c>
      <c r="D97" s="589" t="s">
        <v>206</v>
      </c>
      <c r="E97" s="411"/>
      <c r="F97" s="411"/>
      <c r="G97" s="411"/>
      <c r="H97" s="411"/>
      <c r="I97" s="411"/>
      <c r="J97" s="414"/>
      <c r="K97" s="414"/>
      <c r="L97" s="414"/>
      <c r="M97" s="409"/>
      <c r="N97" s="633"/>
      <c r="O97" s="633"/>
      <c r="P97" s="633"/>
      <c r="S97" s="526"/>
    </row>
    <row r="98" spans="1:19">
      <c r="A98" s="406"/>
      <c r="B98" s="700" t="s">
        <v>32</v>
      </c>
      <c r="C98" s="701">
        <f>C97/(($C$14/100)*1000)</f>
        <v>2.5111510425495854E-2</v>
      </c>
      <c r="D98" s="702" t="s">
        <v>3</v>
      </c>
      <c r="E98" s="411"/>
      <c r="F98" s="411"/>
      <c r="G98" s="411"/>
      <c r="H98" s="411"/>
      <c r="I98" s="744"/>
      <c r="J98" s="414"/>
      <c r="K98" s="414"/>
      <c r="L98" s="414"/>
      <c r="M98" s="409"/>
      <c r="N98" s="633"/>
      <c r="O98" s="633"/>
      <c r="P98" s="633"/>
      <c r="S98" s="526"/>
    </row>
    <row r="99" spans="1:19">
      <c r="A99" s="406"/>
      <c r="G99" s="728"/>
      <c r="J99" s="414"/>
      <c r="S99" s="526"/>
    </row>
    <row r="100" spans="1:19">
      <c r="A100" s="406"/>
      <c r="B100" s="478" t="s">
        <v>37</v>
      </c>
      <c r="C100" s="479"/>
      <c r="D100" s="480"/>
      <c r="G100" s="728"/>
      <c r="S100" s="526"/>
    </row>
    <row r="101" spans="1:19">
      <c r="A101" s="406"/>
      <c r="B101" s="458" t="s">
        <v>90</v>
      </c>
      <c r="C101" s="472">
        <v>347</v>
      </c>
      <c r="D101" s="473" t="s">
        <v>24</v>
      </c>
      <c r="G101" s="728"/>
      <c r="S101" s="526"/>
    </row>
    <row r="102" spans="1:19">
      <c r="A102" s="406"/>
      <c r="B102" s="458" t="s">
        <v>130</v>
      </c>
      <c r="C102" s="472">
        <v>14.4</v>
      </c>
      <c r="D102" s="473" t="s">
        <v>31</v>
      </c>
      <c r="S102" s="526"/>
    </row>
    <row r="103" spans="1:19">
      <c r="A103" s="406"/>
      <c r="B103" s="458" t="s">
        <v>52</v>
      </c>
      <c r="C103" s="472">
        <f>1000*C102/100*0.156^2</f>
        <v>3.5043839999999999</v>
      </c>
      <c r="D103" s="473" t="s">
        <v>4</v>
      </c>
      <c r="S103" s="526"/>
    </row>
    <row r="104" spans="1:19">
      <c r="A104" s="406"/>
      <c r="B104" s="458" t="s">
        <v>30</v>
      </c>
      <c r="C104" s="636">
        <f>C101*10^6/(C102/100*1000)</f>
        <v>2409722.2222222215</v>
      </c>
      <c r="D104" s="473" t="s">
        <v>34</v>
      </c>
      <c r="S104" s="526"/>
    </row>
    <row r="105" spans="1:19">
      <c r="A105" s="406"/>
      <c r="B105" s="458" t="s">
        <v>91</v>
      </c>
      <c r="C105" s="593">
        <f>360*0.85</f>
        <v>306</v>
      </c>
      <c r="D105" s="473" t="s">
        <v>95</v>
      </c>
      <c r="F105" s="402"/>
      <c r="S105" s="526"/>
    </row>
    <row r="106" spans="1:19">
      <c r="A106" s="406"/>
      <c r="B106" s="458" t="s">
        <v>92</v>
      </c>
      <c r="C106" s="593">
        <f>150*0.6</f>
        <v>90</v>
      </c>
      <c r="D106" s="473" t="s">
        <v>95</v>
      </c>
      <c r="F106" s="402"/>
      <c r="S106" s="526"/>
    </row>
    <row r="107" spans="1:19">
      <c r="A107" s="406"/>
      <c r="B107" s="458" t="s">
        <v>93</v>
      </c>
      <c r="C107" s="593">
        <f>250*0.6</f>
        <v>150</v>
      </c>
      <c r="D107" s="473" t="s">
        <v>95</v>
      </c>
      <c r="S107" s="526"/>
    </row>
    <row r="108" spans="1:19">
      <c r="A108" s="406"/>
      <c r="B108" s="458" t="s">
        <v>94</v>
      </c>
      <c r="C108" s="593">
        <f>250*0.6</f>
        <v>150</v>
      </c>
      <c r="D108" s="473" t="s">
        <v>95</v>
      </c>
      <c r="L108" s="402"/>
      <c r="S108" s="526"/>
    </row>
    <row r="109" spans="1:19">
      <c r="A109" s="406"/>
      <c r="B109" s="458" t="s">
        <v>207</v>
      </c>
      <c r="C109" s="472">
        <f>SUM(C105:C108)/C101</f>
        <v>2.005763688760807</v>
      </c>
      <c r="D109" s="785" t="s">
        <v>210</v>
      </c>
      <c r="L109" s="402"/>
      <c r="S109" s="526"/>
    </row>
    <row r="110" spans="1:19">
      <c r="A110" s="406"/>
      <c r="B110" s="458" t="s">
        <v>96</v>
      </c>
      <c r="C110" s="472">
        <f>44*51</f>
        <v>2244</v>
      </c>
      <c r="D110" s="473" t="s">
        <v>97</v>
      </c>
      <c r="S110" s="526"/>
    </row>
    <row r="111" spans="1:19">
      <c r="A111" s="406"/>
      <c r="B111" s="458" t="s">
        <v>102</v>
      </c>
      <c r="C111" s="472">
        <f>(C105+C106)*C110/C104</f>
        <v>0.36876615561959664</v>
      </c>
      <c r="D111" s="473" t="s">
        <v>98</v>
      </c>
      <c r="S111" s="526"/>
    </row>
    <row r="112" spans="1:19">
      <c r="A112" s="406"/>
      <c r="B112" s="458" t="s">
        <v>103</v>
      </c>
      <c r="C112" s="472">
        <f>C107*C110/C104</f>
        <v>0.13968414985590782</v>
      </c>
      <c r="D112" s="473" t="s">
        <v>98</v>
      </c>
      <c r="S112" s="526"/>
    </row>
    <row r="113" spans="1:19">
      <c r="A113" s="406"/>
      <c r="B113" s="458" t="s">
        <v>104</v>
      </c>
      <c r="C113" s="472">
        <f>C108*C110/C104</f>
        <v>0.13968414985590782</v>
      </c>
      <c r="D113" s="473" t="s">
        <v>98</v>
      </c>
      <c r="S113" s="526"/>
    </row>
    <row r="114" spans="1:19">
      <c r="A114" s="406"/>
      <c r="B114" s="458" t="s">
        <v>99</v>
      </c>
      <c r="C114" s="472">
        <f>C111*C18</f>
        <v>9.0393803896253626</v>
      </c>
      <c r="D114" s="473" t="s">
        <v>35</v>
      </c>
      <c r="S114" s="526"/>
    </row>
    <row r="115" spans="1:19">
      <c r="A115" s="406"/>
      <c r="B115" s="458" t="s">
        <v>100</v>
      </c>
      <c r="C115" s="472">
        <f>C112*C18</f>
        <v>3.4240077233429402</v>
      </c>
      <c r="D115" s="473" t="s">
        <v>35</v>
      </c>
      <c r="S115" s="526"/>
    </row>
    <row r="116" spans="1:19">
      <c r="A116" s="406"/>
      <c r="B116" s="458" t="s">
        <v>101</v>
      </c>
      <c r="C116" s="472">
        <f>C113*C18</f>
        <v>3.4240077233429402</v>
      </c>
      <c r="D116" s="473" t="s">
        <v>35</v>
      </c>
      <c r="S116" s="526"/>
    </row>
    <row r="117" spans="1:19">
      <c r="A117" s="406"/>
      <c r="B117" s="458" t="s">
        <v>140</v>
      </c>
      <c r="C117" s="472">
        <f>1000*C14/100</f>
        <v>170</v>
      </c>
      <c r="D117" s="473" t="s">
        <v>105</v>
      </c>
      <c r="S117" s="526"/>
    </row>
    <row r="118" spans="1:19">
      <c r="A118" s="406"/>
      <c r="B118" s="594" t="s">
        <v>106</v>
      </c>
      <c r="C118" s="599">
        <f>C114/C117</f>
        <v>5.317282582132566E-2</v>
      </c>
      <c r="D118" s="595" t="s">
        <v>3</v>
      </c>
      <c r="S118" s="526"/>
    </row>
    <row r="119" spans="1:19">
      <c r="A119" s="406"/>
      <c r="B119" s="594" t="s">
        <v>107</v>
      </c>
      <c r="C119" s="599">
        <f>C115/C117</f>
        <v>2.0141221902017295E-2</v>
      </c>
      <c r="D119" s="595" t="s">
        <v>3</v>
      </c>
      <c r="S119" s="526"/>
    </row>
    <row r="120" spans="1:19">
      <c r="A120" s="406"/>
      <c r="B120" s="594" t="s">
        <v>108</v>
      </c>
      <c r="C120" s="599">
        <f>C116/C117</f>
        <v>2.0141221902017295E-2</v>
      </c>
      <c r="D120" s="595" t="s">
        <v>3</v>
      </c>
      <c r="S120" s="526"/>
    </row>
    <row r="121" spans="1:19">
      <c r="A121" s="406"/>
      <c r="B121" s="527" t="s">
        <v>53</v>
      </c>
      <c r="C121" s="600">
        <f>SUM(C118:C120)</f>
        <v>9.3455269625360257E-2</v>
      </c>
      <c r="D121" s="528" t="s">
        <v>3</v>
      </c>
      <c r="F121" s="404"/>
      <c r="H121" s="404"/>
      <c r="S121" s="526"/>
    </row>
    <row r="122" spans="1:19">
      <c r="A122" s="406"/>
      <c r="S122" s="526"/>
    </row>
    <row r="123" spans="1:19">
      <c r="A123" s="406"/>
      <c r="B123" s="475" t="s">
        <v>28</v>
      </c>
      <c r="C123" s="476"/>
      <c r="D123" s="477"/>
      <c r="S123" s="526"/>
    </row>
    <row r="124" spans="1:19">
      <c r="A124" s="406"/>
      <c r="B124" s="441" t="s">
        <v>130</v>
      </c>
      <c r="C124" s="784">
        <v>14.4</v>
      </c>
      <c r="D124" s="474" t="s">
        <v>1</v>
      </c>
      <c r="S124" s="526"/>
    </row>
    <row r="125" spans="1:19">
      <c r="A125" s="406"/>
      <c r="B125" s="441" t="s">
        <v>212</v>
      </c>
      <c r="C125" s="784">
        <v>25.9</v>
      </c>
      <c r="D125" s="474" t="s">
        <v>86</v>
      </c>
      <c r="S125" s="526"/>
    </row>
    <row r="126" spans="1:19">
      <c r="A126" s="406"/>
      <c r="B126" s="441" t="s">
        <v>212</v>
      </c>
      <c r="C126" s="570">
        <f>C125*C66*C54*(1/C57)</f>
        <v>6.8901534545454529E-2</v>
      </c>
      <c r="D126" s="474" t="s">
        <v>25</v>
      </c>
      <c r="S126" s="526"/>
    </row>
    <row r="127" spans="1:19">
      <c r="A127" s="406"/>
      <c r="B127" s="441" t="s">
        <v>213</v>
      </c>
      <c r="C127" s="570">
        <v>0.2</v>
      </c>
      <c r="D127" s="474" t="s">
        <v>25</v>
      </c>
      <c r="E127" s="402"/>
      <c r="S127" s="526"/>
    </row>
    <row r="128" spans="1:19">
      <c r="A128" s="406"/>
      <c r="B128" s="441" t="s">
        <v>214</v>
      </c>
      <c r="C128" s="570">
        <v>0.34</v>
      </c>
      <c r="D128" s="474" t="s">
        <v>25</v>
      </c>
      <c r="E128" s="402"/>
      <c r="S128" s="526"/>
    </row>
    <row r="129" spans="1:19">
      <c r="A129" s="406"/>
      <c r="B129" s="441" t="s">
        <v>215</v>
      </c>
      <c r="C129" s="570">
        <v>0.05</v>
      </c>
      <c r="D129" s="474" t="s">
        <v>25</v>
      </c>
      <c r="E129" s="402"/>
      <c r="S129" s="526"/>
    </row>
    <row r="130" spans="1:19">
      <c r="A130" s="406"/>
      <c r="B130" s="596" t="s">
        <v>87</v>
      </c>
      <c r="C130" s="597">
        <f>C19*(C126+C127)*(C124/C14)</f>
        <v>2.0499787574759357E-2</v>
      </c>
      <c r="D130" s="598" t="s">
        <v>0</v>
      </c>
      <c r="S130" s="526"/>
    </row>
    <row r="131" spans="1:19">
      <c r="A131" s="406"/>
      <c r="B131" s="596" t="s">
        <v>89</v>
      </c>
      <c r="C131" s="597">
        <f>C19*C128*(C124/C14)</f>
        <v>2.5920000000000002E-2</v>
      </c>
      <c r="D131" s="598" t="s">
        <v>0</v>
      </c>
      <c r="S131" s="526"/>
    </row>
    <row r="132" spans="1:19">
      <c r="A132" s="406"/>
      <c r="B132" s="596" t="s">
        <v>141</v>
      </c>
      <c r="C132" s="597">
        <f>C19*C129*(C124/C14)</f>
        <v>3.8117647058823526E-3</v>
      </c>
      <c r="D132" s="598" t="s">
        <v>0</v>
      </c>
      <c r="S132" s="526"/>
    </row>
    <row r="133" spans="1:19">
      <c r="A133" s="406"/>
      <c r="B133" s="529" t="s">
        <v>88</v>
      </c>
      <c r="C133" s="590">
        <f>SUM(C130:C132)</f>
        <v>5.023155228064171E-2</v>
      </c>
      <c r="D133" s="530" t="s">
        <v>0</v>
      </c>
      <c r="S133" s="526"/>
    </row>
    <row r="134" spans="1:19">
      <c r="A134" s="406"/>
      <c r="F134" s="404"/>
      <c r="S134" s="526"/>
    </row>
    <row r="135" spans="1:19">
      <c r="A135" s="406"/>
      <c r="B135" s="501" t="s">
        <v>38</v>
      </c>
      <c r="C135" s="502"/>
      <c r="D135" s="503"/>
      <c r="S135" s="526"/>
    </row>
    <row r="136" spans="1:19">
      <c r="A136" s="406"/>
      <c r="B136" s="465" t="s">
        <v>113</v>
      </c>
      <c r="C136" s="500">
        <v>0.95</v>
      </c>
      <c r="D136" s="499" t="s">
        <v>31</v>
      </c>
      <c r="S136" s="526"/>
    </row>
    <row r="137" spans="1:19">
      <c r="A137" s="406"/>
      <c r="B137" s="465" t="s">
        <v>114</v>
      </c>
      <c r="C137" s="500">
        <f>0.965*1</f>
        <v>0.96499999999999997</v>
      </c>
      <c r="D137" s="499" t="s">
        <v>31</v>
      </c>
      <c r="S137" s="526"/>
    </row>
    <row r="138" spans="1:19">
      <c r="A138" s="406"/>
      <c r="B138" s="465" t="s">
        <v>115</v>
      </c>
      <c r="C138" s="500">
        <f>0.98*1</f>
        <v>0.98</v>
      </c>
      <c r="D138" s="499" t="s">
        <v>31</v>
      </c>
      <c r="S138" s="526"/>
    </row>
    <row r="139" spans="1:19">
      <c r="A139" s="406"/>
      <c r="B139" s="465" t="s">
        <v>123</v>
      </c>
      <c r="C139" s="500">
        <v>1</v>
      </c>
      <c r="D139" s="499" t="s">
        <v>31</v>
      </c>
      <c r="S139" s="526"/>
    </row>
    <row r="140" spans="1:19">
      <c r="A140" s="406"/>
      <c r="B140" s="465" t="s">
        <v>116</v>
      </c>
      <c r="C140" s="500">
        <f>(J31+J32+J35+J34+J28+J29+J30)</f>
        <v>0.32394634017131441</v>
      </c>
      <c r="D140" s="499" t="s">
        <v>3</v>
      </c>
      <c r="S140" s="526"/>
    </row>
    <row r="141" spans="1:19">
      <c r="A141" s="406"/>
      <c r="B141" s="465" t="s">
        <v>117</v>
      </c>
      <c r="C141" s="500">
        <f>C140+(K31+K32+K33+K40+K45+K29+K30)</f>
        <v>0.54246930521650905</v>
      </c>
      <c r="D141" s="499" t="s">
        <v>3</v>
      </c>
      <c r="S141" s="526"/>
    </row>
    <row r="142" spans="1:19">
      <c r="A142" s="406"/>
      <c r="B142" s="465" t="s">
        <v>118</v>
      </c>
      <c r="C142" s="500">
        <f>C141+(L31+L32+L36+L37+L38+L39+L41+L43+L44+L29+L30)</f>
        <v>0.83619326777702208</v>
      </c>
      <c r="D142" s="499" t="s">
        <v>3</v>
      </c>
      <c r="S142" s="526"/>
    </row>
    <row r="143" spans="1:19">
      <c r="A143" s="406"/>
      <c r="B143" s="465" t="s">
        <v>124</v>
      </c>
      <c r="C143" s="500">
        <f>SUM(H28,H30:H41,H43:H45)+(H46+H47)+H29</f>
        <v>0.8361932677770223</v>
      </c>
      <c r="D143" s="499" t="s">
        <v>3</v>
      </c>
      <c r="S143" s="526"/>
    </row>
    <row r="144" spans="1:19">
      <c r="A144" s="406"/>
      <c r="B144" s="631" t="s">
        <v>119</v>
      </c>
      <c r="C144" s="624">
        <f>C140/C136-C140</f>
        <v>1.7049807377437609E-2</v>
      </c>
      <c r="D144" s="632" t="s">
        <v>3</v>
      </c>
      <c r="S144" s="526"/>
    </row>
    <row r="145" spans="1:19">
      <c r="A145" s="406"/>
      <c r="B145" s="631" t="s">
        <v>120</v>
      </c>
      <c r="C145" s="624">
        <f>C141/C137-C141</f>
        <v>1.9675052520806036E-2</v>
      </c>
      <c r="D145" s="632" t="s">
        <v>3</v>
      </c>
      <c r="S145" s="526"/>
    </row>
    <row r="146" spans="1:19">
      <c r="A146" s="406"/>
      <c r="B146" s="631" t="s">
        <v>121</v>
      </c>
      <c r="C146" s="624">
        <f>C142/C138-C142</f>
        <v>1.7065168730143299E-2</v>
      </c>
      <c r="D146" s="632" t="s">
        <v>3</v>
      </c>
      <c r="S146" s="526"/>
    </row>
    <row r="147" spans="1:19">
      <c r="A147" s="406"/>
      <c r="B147" s="631" t="s">
        <v>125</v>
      </c>
      <c r="C147" s="624">
        <f>C143/C139-C143</f>
        <v>0</v>
      </c>
      <c r="D147" s="632" t="s">
        <v>3</v>
      </c>
      <c r="S147" s="526"/>
    </row>
    <row r="148" spans="1:19">
      <c r="A148" s="406"/>
      <c r="B148" s="534" t="s">
        <v>122</v>
      </c>
      <c r="C148" s="535">
        <f>SUM(C144:C147)</f>
        <v>5.3790028628386943E-2</v>
      </c>
      <c r="D148" s="536" t="s">
        <v>3</v>
      </c>
      <c r="S148" s="526"/>
    </row>
    <row r="149" spans="1:19">
      <c r="A149" s="406"/>
      <c r="S149" s="526"/>
    </row>
    <row r="150" spans="1:19">
      <c r="A150" s="406"/>
      <c r="B150" s="768" t="s">
        <v>29</v>
      </c>
      <c r="C150" s="769"/>
      <c r="D150" s="770"/>
      <c r="S150" s="526"/>
    </row>
    <row r="151" spans="1:19">
      <c r="A151" s="406"/>
      <c r="B151" s="771" t="s">
        <v>195</v>
      </c>
      <c r="C151" s="769">
        <f>0.15</f>
        <v>0.15</v>
      </c>
      <c r="D151" s="770" t="s">
        <v>35</v>
      </c>
      <c r="S151" s="526"/>
    </row>
    <row r="152" spans="1:19">
      <c r="A152" s="406"/>
      <c r="B152" s="790" t="s">
        <v>29</v>
      </c>
      <c r="C152" s="789">
        <f>3*C151*C56</f>
        <v>0.88593977528089884</v>
      </c>
      <c r="D152" s="791" t="s">
        <v>208</v>
      </c>
      <c r="S152" s="526"/>
    </row>
    <row r="153" spans="1:19">
      <c r="A153" s="406"/>
      <c r="B153" s="531" t="s">
        <v>209</v>
      </c>
      <c r="C153" s="532">
        <f>C152/C57</f>
        <v>2.6470588235294116E-3</v>
      </c>
      <c r="D153" s="533" t="s">
        <v>3</v>
      </c>
      <c r="S153" s="526"/>
    </row>
    <row r="154" spans="1:19">
      <c r="A154" s="406"/>
      <c r="B154" s="408"/>
      <c r="C154" s="720"/>
      <c r="D154" s="408"/>
      <c r="S154" s="526"/>
    </row>
    <row r="155" spans="1:19">
      <c r="A155" s="406"/>
      <c r="B155" s="729" t="s">
        <v>42</v>
      </c>
      <c r="C155" s="730"/>
      <c r="D155" s="731"/>
      <c r="S155" s="526"/>
    </row>
    <row r="156" spans="1:19">
      <c r="A156" s="406"/>
      <c r="B156" s="798" t="s">
        <v>228</v>
      </c>
      <c r="C156" s="799">
        <v>300</v>
      </c>
      <c r="D156" s="800" t="s">
        <v>17</v>
      </c>
      <c r="S156" s="526"/>
    </row>
    <row r="157" spans="1:19">
      <c r="A157" s="406"/>
      <c r="B157" s="736" t="s">
        <v>229</v>
      </c>
      <c r="C157" s="797">
        <v>0.22500000000000001</v>
      </c>
      <c r="D157" s="732" t="s">
        <v>188</v>
      </c>
      <c r="S157" s="526"/>
    </row>
    <row r="158" spans="1:19">
      <c r="A158" s="406"/>
      <c r="B158" s="801" t="s">
        <v>228</v>
      </c>
      <c r="C158" s="802">
        <f>C156*C157/1000</f>
        <v>6.7500000000000004E-2</v>
      </c>
      <c r="D158" s="803" t="s">
        <v>21</v>
      </c>
      <c r="S158" s="526"/>
    </row>
    <row r="159" spans="1:19">
      <c r="A159" s="406"/>
      <c r="B159" s="736" t="s">
        <v>230</v>
      </c>
      <c r="C159" s="797">
        <v>150</v>
      </c>
      <c r="D159" s="732" t="s">
        <v>17</v>
      </c>
      <c r="S159" s="526"/>
    </row>
    <row r="160" spans="1:19">
      <c r="A160" s="406"/>
      <c r="B160" s="736" t="s">
        <v>231</v>
      </c>
      <c r="C160" s="797">
        <v>1</v>
      </c>
      <c r="D160" s="732" t="s">
        <v>188</v>
      </c>
      <c r="S160" s="526"/>
    </row>
    <row r="161" spans="1:19">
      <c r="A161" s="406"/>
      <c r="B161" s="801" t="s">
        <v>230</v>
      </c>
      <c r="C161" s="802">
        <f>C159*C160/1000</f>
        <v>0.15</v>
      </c>
      <c r="D161" s="803" t="s">
        <v>21</v>
      </c>
      <c r="S161" s="526"/>
    </row>
    <row r="162" spans="1:19">
      <c r="A162" s="406"/>
      <c r="B162" s="786" t="s">
        <v>189</v>
      </c>
      <c r="C162" s="787">
        <f>C158+C161</f>
        <v>0.2175</v>
      </c>
      <c r="D162" s="788" t="s">
        <v>21</v>
      </c>
      <c r="S162" s="526"/>
    </row>
    <row r="163" spans="1:19">
      <c r="A163" s="406"/>
      <c r="S163" s="526"/>
    </row>
    <row r="164" spans="1:19">
      <c r="A164" s="406"/>
      <c r="B164" s="512" t="s">
        <v>66</v>
      </c>
      <c r="C164" s="513"/>
      <c r="D164" s="513"/>
      <c r="E164" s="513"/>
      <c r="F164" s="513"/>
      <c r="G164" s="898"/>
      <c r="H164" s="861"/>
      <c r="I164" s="861"/>
      <c r="J164" s="861"/>
      <c r="S164" s="526"/>
    </row>
    <row r="165" spans="1:19">
      <c r="A165" s="406"/>
      <c r="B165" s="507" t="s">
        <v>219</v>
      </c>
      <c r="C165" s="509">
        <v>60</v>
      </c>
      <c r="D165" s="509" t="s">
        <v>31</v>
      </c>
      <c r="E165" s="509"/>
      <c r="F165" s="509"/>
      <c r="G165" s="898"/>
      <c r="H165" s="861"/>
      <c r="I165" s="861"/>
      <c r="J165" s="861"/>
      <c r="S165" s="526"/>
    </row>
    <row r="166" spans="1:19">
      <c r="A166" s="406"/>
      <c r="B166" s="507" t="s">
        <v>220</v>
      </c>
      <c r="C166" s="509">
        <v>1.6</v>
      </c>
      <c r="D166" s="509" t="s">
        <v>127</v>
      </c>
      <c r="E166" s="509"/>
      <c r="F166" s="509"/>
      <c r="G166" s="898"/>
      <c r="H166" s="861"/>
      <c r="I166" s="861"/>
      <c r="J166" s="861"/>
      <c r="S166" s="526"/>
    </row>
    <row r="167" spans="1:19">
      <c r="A167" s="406"/>
      <c r="B167" s="507"/>
      <c r="C167" s="906" t="s">
        <v>260</v>
      </c>
      <c r="D167" s="904" t="s">
        <v>261</v>
      </c>
      <c r="E167" s="904" t="s">
        <v>8</v>
      </c>
      <c r="F167" s="509"/>
      <c r="G167" s="898"/>
      <c r="H167" s="861"/>
      <c r="I167" s="861"/>
      <c r="J167" s="861"/>
      <c r="S167" s="526"/>
    </row>
    <row r="168" spans="1:19">
      <c r="A168" s="406"/>
      <c r="B168" s="507" t="s">
        <v>216</v>
      </c>
      <c r="C168" s="901">
        <v>15</v>
      </c>
      <c r="D168" s="899">
        <f>(($C$56-$C$166)*2+(1.6*2+1*2))/(1.6*2+1*2)*C168</f>
        <v>17.127433016421783</v>
      </c>
      <c r="E168" s="899">
        <f>D168/$C$57</f>
        <v>5.1174271610227064E-2</v>
      </c>
      <c r="F168" s="901"/>
      <c r="G168" s="898"/>
      <c r="H168" s="861"/>
      <c r="I168" s="861"/>
      <c r="J168" s="861"/>
      <c r="S168" s="526"/>
    </row>
    <row r="169" spans="1:19">
      <c r="A169" s="406"/>
      <c r="B169" s="507" t="s">
        <v>217</v>
      </c>
      <c r="C169" s="901">
        <v>11.5</v>
      </c>
      <c r="D169" s="899">
        <f>C169*$C$56/$C$166</f>
        <v>14.150426966292136</v>
      </c>
      <c r="E169" s="899">
        <f t="shared" ref="E169:E173" si="4">D169/$C$57</f>
        <v>4.2279411764705885E-2</v>
      </c>
      <c r="F169" s="901"/>
      <c r="G169" s="898"/>
      <c r="H169" s="861"/>
      <c r="I169" s="861"/>
      <c r="J169" s="861"/>
      <c r="S169" s="526"/>
    </row>
    <row r="170" spans="1:19">
      <c r="A170" s="406"/>
      <c r="B170" s="507" t="s">
        <v>218</v>
      </c>
      <c r="C170" s="901">
        <v>9</v>
      </c>
      <c r="D170" s="899">
        <f>C170*$C$56/$C$166</f>
        <v>11.074247191011235</v>
      </c>
      <c r="E170" s="899">
        <f t="shared" si="4"/>
        <v>3.3088235294117641E-2</v>
      </c>
      <c r="F170" s="901"/>
      <c r="G170" s="898"/>
      <c r="H170" s="861"/>
      <c r="I170" s="861"/>
      <c r="J170" s="861"/>
      <c r="S170" s="526"/>
    </row>
    <row r="171" spans="1:19">
      <c r="A171" s="406"/>
      <c r="B171" s="507" t="s">
        <v>191</v>
      </c>
      <c r="C171" s="901">
        <v>17</v>
      </c>
      <c r="D171" s="899">
        <f>C171*$C$56/$C$166</f>
        <v>20.91802247191011</v>
      </c>
      <c r="E171" s="899">
        <f t="shared" si="4"/>
        <v>6.2499999999999986E-2</v>
      </c>
      <c r="F171" s="901"/>
      <c r="G171" s="898"/>
      <c r="H171" s="861"/>
      <c r="I171" s="861"/>
      <c r="J171" s="861"/>
      <c r="S171" s="526"/>
    </row>
    <row r="172" spans="1:19">
      <c r="A172" s="406"/>
      <c r="B172" s="507" t="s">
        <v>13</v>
      </c>
      <c r="C172" s="901">
        <v>10</v>
      </c>
      <c r="D172" s="899"/>
      <c r="E172" s="899">
        <v>0.04</v>
      </c>
      <c r="F172" s="901"/>
      <c r="G172" s="898"/>
      <c r="H172" s="861"/>
      <c r="I172" s="861"/>
      <c r="J172" s="861"/>
      <c r="S172" s="526"/>
    </row>
    <row r="173" spans="1:19">
      <c r="A173" s="406"/>
      <c r="B173" s="507" t="s">
        <v>14</v>
      </c>
      <c r="C173" s="901">
        <v>7.5</v>
      </c>
      <c r="D173" s="899">
        <f>C173*$C$56/$C$166</f>
        <v>9.2285393258426964</v>
      </c>
      <c r="E173" s="899">
        <f t="shared" si="4"/>
        <v>2.7573529411764705E-2</v>
      </c>
      <c r="F173" s="901"/>
      <c r="G173" s="898"/>
      <c r="H173" s="861"/>
      <c r="I173" s="861"/>
      <c r="J173" s="861"/>
      <c r="S173" s="526"/>
    </row>
    <row r="174" spans="1:19" s="897" customFormat="1">
      <c r="A174" s="898"/>
      <c r="B174" s="900"/>
      <c r="C174" s="901"/>
      <c r="D174" s="899"/>
      <c r="E174" s="899"/>
      <c r="F174" s="901"/>
      <c r="G174" s="898"/>
      <c r="H174" s="861"/>
      <c r="I174" s="861"/>
      <c r="J174" s="861"/>
      <c r="S174" s="902"/>
    </row>
    <row r="175" spans="1:19">
      <c r="A175" s="406"/>
      <c r="B175" s="507" t="s">
        <v>221</v>
      </c>
      <c r="C175" s="509">
        <v>4</v>
      </c>
      <c r="D175" s="505" t="s">
        <v>225</v>
      </c>
      <c r="E175" s="505"/>
      <c r="F175" s="901"/>
      <c r="G175" s="905"/>
      <c r="H175" s="861"/>
      <c r="I175" s="861"/>
      <c r="J175" s="861"/>
      <c r="S175" s="526"/>
    </row>
    <row r="176" spans="1:19">
      <c r="A176" s="406"/>
      <c r="B176" s="507" t="s">
        <v>222</v>
      </c>
      <c r="C176" s="509">
        <v>8000</v>
      </c>
      <c r="D176" s="505" t="s">
        <v>223</v>
      </c>
      <c r="E176" s="505"/>
      <c r="F176" s="509"/>
      <c r="G176" s="898"/>
      <c r="H176" s="861"/>
      <c r="I176" s="861"/>
      <c r="J176" s="861"/>
      <c r="S176" s="526"/>
    </row>
    <row r="177" spans="1:19">
      <c r="A177" s="406"/>
      <c r="B177" s="507" t="s">
        <v>224</v>
      </c>
      <c r="C177" s="509">
        <v>100</v>
      </c>
      <c r="D177" s="505" t="s">
        <v>2</v>
      </c>
      <c r="E177" s="505"/>
      <c r="F177" s="509"/>
      <c r="G177" s="898"/>
      <c r="H177" s="861"/>
      <c r="I177" s="861"/>
      <c r="J177" s="861"/>
      <c r="S177" s="526"/>
    </row>
    <row r="178" spans="1:19">
      <c r="A178" s="406"/>
      <c r="B178" s="510" t="s">
        <v>224</v>
      </c>
      <c r="C178" s="511">
        <f>C177*C175/C176</f>
        <v>0.05</v>
      </c>
      <c r="D178" s="792" t="s">
        <v>21</v>
      </c>
      <c r="E178" s="792"/>
      <c r="F178" s="511"/>
      <c r="G178" s="898"/>
      <c r="H178" s="861"/>
      <c r="I178" s="861"/>
      <c r="J178" s="861"/>
      <c r="S178" s="526"/>
    </row>
    <row r="179" spans="1:19">
      <c r="A179" s="406"/>
      <c r="S179" s="526"/>
    </row>
    <row r="180" spans="1:19">
      <c r="A180" s="406"/>
      <c r="B180" s="557" t="s">
        <v>70</v>
      </c>
      <c r="C180" s="558"/>
      <c r="D180" s="559"/>
      <c r="S180" s="526"/>
    </row>
    <row r="181" spans="1:19">
      <c r="A181" s="406"/>
      <c r="B181" s="551" t="s">
        <v>74</v>
      </c>
      <c r="C181" s="560">
        <v>141120</v>
      </c>
      <c r="D181" s="561" t="s">
        <v>211</v>
      </c>
      <c r="S181" s="526"/>
    </row>
    <row r="182" spans="1:19">
      <c r="A182" s="406"/>
      <c r="B182" s="551" t="s">
        <v>71</v>
      </c>
      <c r="C182" s="556">
        <f>C20</f>
        <v>0</v>
      </c>
      <c r="D182" s="561" t="s">
        <v>72</v>
      </c>
      <c r="S182" s="526"/>
    </row>
    <row r="183" spans="1:19">
      <c r="A183" s="406"/>
      <c r="B183" s="562" t="s">
        <v>5</v>
      </c>
      <c r="C183" s="580">
        <f>C182/C181</f>
        <v>0</v>
      </c>
      <c r="D183" s="563" t="s">
        <v>0</v>
      </c>
      <c r="S183" s="526"/>
    </row>
    <row r="184" spans="1:19">
      <c r="A184" s="406"/>
      <c r="S184" s="526"/>
    </row>
    <row r="185" spans="1:19">
      <c r="A185" s="406"/>
      <c r="B185" s="581" t="s">
        <v>76</v>
      </c>
      <c r="C185" s="582"/>
      <c r="D185" s="583"/>
      <c r="S185" s="526"/>
    </row>
    <row r="186" spans="1:19">
      <c r="A186" s="406"/>
      <c r="B186" s="584" t="s">
        <v>84</v>
      </c>
      <c r="C186" s="565">
        <f>IF(C20&lt;&gt;0,1,0)</f>
        <v>0</v>
      </c>
      <c r="D186" s="585" t="s">
        <v>31</v>
      </c>
      <c r="S186" s="526"/>
    </row>
    <row r="187" spans="1:19">
      <c r="A187" s="406"/>
      <c r="B187" s="586" t="s">
        <v>85</v>
      </c>
      <c r="C187" s="587">
        <f>C186*2.5/100*SUM(H28:H41,H43:H45,J42:L42)</f>
        <v>0</v>
      </c>
      <c r="D187" s="588" t="s">
        <v>0</v>
      </c>
      <c r="S187" s="526"/>
    </row>
    <row r="188" spans="1:19">
      <c r="A188" s="406"/>
      <c r="S188" s="526"/>
    </row>
    <row r="189" spans="1:19">
      <c r="A189" s="406"/>
      <c r="S189" s="526"/>
    </row>
    <row r="190" spans="1:19">
      <c r="A190" s="406"/>
      <c r="S190" s="526"/>
    </row>
    <row r="191" spans="1:19">
      <c r="A191" s="406"/>
      <c r="S191" s="526"/>
    </row>
    <row r="192" spans="1:19">
      <c r="S192" s="526"/>
    </row>
  </sheetData>
  <mergeCells count="2">
    <mergeCell ref="J26:M26"/>
    <mergeCell ref="N26:Q26"/>
  </mergeCells>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S191"/>
  <sheetViews>
    <sheetView zoomScale="60" zoomScaleNormal="60" workbookViewId="0"/>
  </sheetViews>
  <sheetFormatPr defaultRowHeight="14.4"/>
  <cols>
    <col min="1" max="1" width="8.88671875" style="4"/>
    <col min="2" max="2" width="30.6640625" style="110" customWidth="1"/>
    <col min="3" max="6" width="19" style="110" customWidth="1"/>
    <col min="7" max="7" width="24.77734375" style="110" customWidth="1"/>
    <col min="8" max="18" width="19" style="110" customWidth="1"/>
    <col min="19" max="16384" width="8.88671875" style="110"/>
  </cols>
  <sheetData>
    <row r="1" spans="1:19" ht="31.2">
      <c r="A1" s="889" t="s">
        <v>242</v>
      </c>
    </row>
    <row r="2" spans="1:19">
      <c r="A2" s="890" t="s">
        <v>262</v>
      </c>
    </row>
    <row r="3" spans="1:19">
      <c r="A3" s="859" t="s">
        <v>56</v>
      </c>
    </row>
    <row r="4" spans="1:19" s="831" customFormat="1" ht="13.8" customHeight="1">
      <c r="A4" s="897" t="s">
        <v>259</v>
      </c>
    </row>
    <row r="5" spans="1:19">
      <c r="A5" s="859"/>
    </row>
    <row r="6" spans="1:19">
      <c r="A6" s="859"/>
    </row>
    <row r="7" spans="1:19">
      <c r="A7" s="110"/>
      <c r="H7" s="3"/>
    </row>
    <row r="8" spans="1:19">
      <c r="A8" s="110"/>
      <c r="H8" s="3"/>
    </row>
    <row r="9" spans="1:19">
      <c r="A9" s="110"/>
      <c r="H9" s="3"/>
    </row>
    <row r="10" spans="1:19">
      <c r="H10" s="3"/>
    </row>
    <row r="11" spans="1:19">
      <c r="H11" s="3"/>
    </row>
    <row r="12" spans="1:19" ht="34.200000000000003" thickBot="1">
      <c r="B12" s="145" t="s">
        <v>41</v>
      </c>
      <c r="H12" s="3"/>
    </row>
    <row r="13" spans="1:19" ht="15" thickBot="1">
      <c r="B13" s="25" t="s">
        <v>58</v>
      </c>
      <c r="C13" s="38" t="s">
        <v>51</v>
      </c>
      <c r="D13" s="39" t="s">
        <v>60</v>
      </c>
      <c r="H13" s="3"/>
      <c r="S13" s="111"/>
    </row>
    <row r="14" spans="1:19">
      <c r="B14" s="17" t="s">
        <v>46</v>
      </c>
      <c r="C14" s="33">
        <v>20.5</v>
      </c>
      <c r="D14" s="40" t="s">
        <v>1</v>
      </c>
      <c r="E14" s="1"/>
      <c r="H14" s="3"/>
      <c r="S14" s="111"/>
    </row>
    <row r="15" spans="1:19">
      <c r="B15" s="21" t="s">
        <v>16</v>
      </c>
      <c r="C15" s="4">
        <v>50</v>
      </c>
      <c r="D15" s="433" t="s">
        <v>241</v>
      </c>
      <c r="H15" s="3"/>
      <c r="L15" s="6"/>
      <c r="N15" s="1"/>
      <c r="S15" s="111"/>
    </row>
    <row r="16" spans="1:19">
      <c r="B16" s="21" t="s">
        <v>50</v>
      </c>
      <c r="C16" s="405">
        <v>0.9</v>
      </c>
      <c r="D16" s="41" t="s">
        <v>31</v>
      </c>
      <c r="H16" s="3"/>
      <c r="L16" s="6"/>
      <c r="S16" s="111"/>
    </row>
    <row r="17" spans="1:19">
      <c r="B17" s="417" t="s">
        <v>226</v>
      </c>
      <c r="C17" s="4">
        <v>25</v>
      </c>
      <c r="D17" s="41" t="s">
        <v>17</v>
      </c>
      <c r="E17" s="1"/>
      <c r="H17" s="3"/>
      <c r="S17" s="111"/>
    </row>
    <row r="18" spans="1:19">
      <c r="B18" s="21" t="s">
        <v>22</v>
      </c>
      <c r="C18" s="523">
        <f>18.5*1.325</f>
        <v>24.512499999999999</v>
      </c>
      <c r="D18" s="41" t="s">
        <v>23</v>
      </c>
      <c r="H18" s="3"/>
      <c r="S18" s="111"/>
    </row>
    <row r="19" spans="1:19" s="131" customFormat="1">
      <c r="A19" s="304"/>
      <c r="B19" s="305" t="s">
        <v>26</v>
      </c>
      <c r="C19" s="306">
        <v>0.09</v>
      </c>
      <c r="D19" s="307" t="s">
        <v>27</v>
      </c>
      <c r="E19" s="308"/>
      <c r="H19" s="3"/>
      <c r="S19" s="144"/>
    </row>
    <row r="20" spans="1:19" ht="15" thickBot="1">
      <c r="B20" s="23" t="s">
        <v>71</v>
      </c>
      <c r="C20" s="375">
        <v>0</v>
      </c>
      <c r="D20" s="128" t="s">
        <v>72</v>
      </c>
      <c r="E20" s="1"/>
      <c r="H20" s="3"/>
      <c r="S20" s="111"/>
    </row>
    <row r="21" spans="1:19">
      <c r="H21" s="3"/>
      <c r="N21" s="3"/>
      <c r="S21" s="111"/>
    </row>
    <row r="22" spans="1:19">
      <c r="H22" s="3"/>
      <c r="N22" s="3"/>
      <c r="S22" s="111"/>
    </row>
    <row r="23" spans="1:19" ht="34.200000000000003" thickBot="1">
      <c r="B23" s="145" t="s">
        <v>59</v>
      </c>
      <c r="S23" s="111"/>
    </row>
    <row r="24" spans="1:19" ht="15" thickBot="1">
      <c r="B24" s="395" t="s">
        <v>80</v>
      </c>
      <c r="C24" s="396">
        <f>C66*1000*C54/C57*(1/(C136*C137*C138))</f>
        <v>0.61236167980220158</v>
      </c>
      <c r="D24" s="397" t="s">
        <v>79</v>
      </c>
      <c r="S24" s="111"/>
    </row>
    <row r="25" spans="1:19" ht="15" thickBot="1">
      <c r="S25" s="111"/>
    </row>
    <row r="26" spans="1:19" ht="29.4" thickBot="1">
      <c r="B26" s="29" t="s">
        <v>55</v>
      </c>
      <c r="J26" s="909" t="s">
        <v>109</v>
      </c>
      <c r="K26" s="910"/>
      <c r="L26" s="910"/>
      <c r="M26" s="911"/>
      <c r="N26" s="909" t="s">
        <v>111</v>
      </c>
      <c r="O26" s="910"/>
      <c r="P26" s="910"/>
      <c r="Q26" s="911"/>
      <c r="S26" s="111"/>
    </row>
    <row r="27" spans="1:19" ht="15" thickBot="1">
      <c r="A27" s="5"/>
      <c r="B27" s="35" t="s">
        <v>58</v>
      </c>
      <c r="C27" s="31" t="s">
        <v>9</v>
      </c>
      <c r="D27" s="34" t="s">
        <v>39</v>
      </c>
      <c r="E27" s="32" t="s">
        <v>40</v>
      </c>
      <c r="F27" s="32" t="s">
        <v>68</v>
      </c>
      <c r="G27" s="32" t="s">
        <v>65</v>
      </c>
      <c r="H27" s="135" t="s">
        <v>8</v>
      </c>
      <c r="I27" s="31" t="s">
        <v>69</v>
      </c>
      <c r="J27" s="200" t="s">
        <v>43</v>
      </c>
      <c r="K27" s="201" t="s">
        <v>83</v>
      </c>
      <c r="L27" s="201" t="s">
        <v>45</v>
      </c>
      <c r="M27" s="202" t="s">
        <v>75</v>
      </c>
      <c r="N27" s="364" t="s">
        <v>43</v>
      </c>
      <c r="O27" s="201" t="s">
        <v>83</v>
      </c>
      <c r="P27" s="201" t="s">
        <v>45</v>
      </c>
      <c r="Q27" s="202" t="s">
        <v>75</v>
      </c>
      <c r="S27" s="111"/>
    </row>
    <row r="28" spans="1:19">
      <c r="A28" s="5"/>
      <c r="B28" s="436" t="s">
        <v>36</v>
      </c>
      <c r="C28" s="376">
        <f>C67</f>
        <v>7.8720200000000004E-2</v>
      </c>
      <c r="D28" s="43"/>
      <c r="E28" s="44"/>
      <c r="F28" s="293">
        <v>1</v>
      </c>
      <c r="G28" s="101">
        <v>1</v>
      </c>
      <c r="H28" s="268">
        <f>C28*$C$54/$C$57*F28*G28</f>
        <v>1.4043428184281845E-2</v>
      </c>
      <c r="I28" s="265">
        <f>H28/$H$48*G28*F28</f>
        <v>2.6869063074113034E-2</v>
      </c>
      <c r="J28" s="205">
        <f>H28</f>
        <v>1.4043428184281845E-2</v>
      </c>
      <c r="K28" s="45"/>
      <c r="L28" s="45"/>
      <c r="M28" s="250"/>
      <c r="N28" s="365"/>
      <c r="O28" s="217"/>
      <c r="P28" s="217"/>
      <c r="Q28" s="218"/>
      <c r="R28" s="404"/>
      <c r="S28" s="111"/>
    </row>
    <row r="29" spans="1:19">
      <c r="A29" s="5"/>
      <c r="B29" s="459" t="s">
        <v>192</v>
      </c>
      <c r="C29" s="61"/>
      <c r="D29" s="229" t="s">
        <v>110</v>
      </c>
      <c r="E29" s="211" t="s">
        <v>110</v>
      </c>
      <c r="F29" s="294">
        <v>1</v>
      </c>
      <c r="G29" s="102">
        <v>1</v>
      </c>
      <c r="H29" s="269">
        <f>SUM(J29:L29)</f>
        <v>0.14707789710615243</v>
      </c>
      <c r="I29" s="162">
        <f t="shared" ref="I29:I47" si="0">H29/$H$48</f>
        <v>0.28140175192950628</v>
      </c>
      <c r="J29" s="251">
        <f>H77*F29*G29+N29</f>
        <v>7.3132847885548052E-2</v>
      </c>
      <c r="K29" s="62">
        <f>H78*F29*G29+O29</f>
        <v>5.0870325826840632E-2</v>
      </c>
      <c r="L29" s="62">
        <f>H79*F29*G29+P29</f>
        <v>2.307472339376376E-2</v>
      </c>
      <c r="M29" s="252"/>
      <c r="N29" s="366"/>
      <c r="O29" s="230"/>
      <c r="P29" s="230"/>
      <c r="Q29" s="231"/>
      <c r="R29" s="404"/>
      <c r="S29" s="111"/>
    </row>
    <row r="30" spans="1:19">
      <c r="A30" s="5"/>
      <c r="B30" s="641" t="s">
        <v>126</v>
      </c>
      <c r="C30" s="232"/>
      <c r="D30" s="229" t="s">
        <v>110</v>
      </c>
      <c r="E30" s="211" t="s">
        <v>110</v>
      </c>
      <c r="F30" s="295">
        <v>1</v>
      </c>
      <c r="G30" s="235">
        <f>C62</f>
        <v>0.90249999999999997</v>
      </c>
      <c r="H30" s="270">
        <f>SUM(J30:L30)</f>
        <v>3.7677807328256138E-2</v>
      </c>
      <c r="I30" s="266">
        <f t="shared" si="0"/>
        <v>7.208833685853773E-2</v>
      </c>
      <c r="J30" s="253">
        <f>E85*F30*G30+N30</f>
        <v>1.7892002276664092E-2</v>
      </c>
      <c r="K30" s="233">
        <f>E86*F30*G30+O30</f>
        <v>1.3183866054403602E-2</v>
      </c>
      <c r="L30" s="233">
        <f>E87*F30*G30+P30</f>
        <v>6.6019389971884437E-3</v>
      </c>
      <c r="M30" s="254"/>
      <c r="N30" s="232"/>
      <c r="O30" s="234"/>
      <c r="P30" s="234"/>
      <c r="Q30" s="236"/>
      <c r="R30" s="404"/>
      <c r="S30" s="111"/>
    </row>
    <row r="31" spans="1:19">
      <c r="A31" s="5"/>
      <c r="B31" s="455" t="s">
        <v>37</v>
      </c>
      <c r="C31" s="58"/>
      <c r="D31" s="229" t="s">
        <v>110</v>
      </c>
      <c r="E31" s="211" t="s">
        <v>110</v>
      </c>
      <c r="F31" s="296">
        <v>1</v>
      </c>
      <c r="G31" s="103">
        <v>1</v>
      </c>
      <c r="H31" s="271">
        <f>(SUM(J31:L31))</f>
        <v>5.8570018291980053E-2</v>
      </c>
      <c r="I31" s="167">
        <f t="shared" si="0"/>
        <v>0.11206106479759403</v>
      </c>
      <c r="J31" s="143">
        <f>C118*F31*G31+N31</f>
        <v>3.1846055573205884E-2</v>
      </c>
      <c r="K31" s="59">
        <f>C119*F31*G31+O31</f>
        <v>1.3361981359387085E-2</v>
      </c>
      <c r="L31" s="59">
        <f>C120*F31*G31+P31</f>
        <v>1.3361981359387085E-2</v>
      </c>
      <c r="M31" s="196"/>
      <c r="N31" s="367"/>
      <c r="O31" s="59"/>
      <c r="P31" s="59"/>
      <c r="Q31" s="196"/>
      <c r="R31" s="404"/>
      <c r="S31" s="111"/>
    </row>
    <row r="32" spans="1:19">
      <c r="A32" s="5"/>
      <c r="B32" s="440" t="s">
        <v>28</v>
      </c>
      <c r="C32" s="57"/>
      <c r="D32" s="229" t="s">
        <v>110</v>
      </c>
      <c r="E32" s="211" t="s">
        <v>110</v>
      </c>
      <c r="F32" s="297">
        <v>1</v>
      </c>
      <c r="G32" s="104">
        <v>1</v>
      </c>
      <c r="H32" s="272">
        <f>(SUM(J32:L32))</f>
        <v>2.8104170395716839E-2</v>
      </c>
      <c r="I32" s="166">
        <f t="shared" si="0"/>
        <v>5.3771252795191481E-2</v>
      </c>
      <c r="J32" s="186">
        <f>C130*F32*G32+N32</f>
        <v>3.4485606396192753E-3</v>
      </c>
      <c r="K32" s="47">
        <f>C131*F32*G32+O32</f>
        <v>2.1494634146341469E-2</v>
      </c>
      <c r="L32" s="47">
        <f>C132*F32*G32+P32</f>
        <v>3.1609756097560975E-3</v>
      </c>
      <c r="M32" s="187"/>
      <c r="N32" s="165"/>
      <c r="O32" s="47"/>
      <c r="P32" s="47"/>
      <c r="Q32" s="187"/>
      <c r="R32" s="404"/>
      <c r="S32" s="111"/>
    </row>
    <row r="33" spans="1:19">
      <c r="A33" s="5"/>
      <c r="B33" s="733" t="s">
        <v>42</v>
      </c>
      <c r="C33" s="337">
        <f>C162</f>
        <v>0.3</v>
      </c>
      <c r="D33" s="338"/>
      <c r="E33" s="339"/>
      <c r="F33" s="340">
        <v>1</v>
      </c>
      <c r="G33" s="341">
        <v>1</v>
      </c>
      <c r="H33" s="342">
        <f>C33*$C$54/$C$57*F33*G33</f>
        <v>5.3519026314523502E-2</v>
      </c>
      <c r="I33" s="343">
        <f t="shared" si="0"/>
        <v>0.10239708387725018</v>
      </c>
      <c r="J33" s="344"/>
      <c r="K33" s="345">
        <f>H33</f>
        <v>5.3519026314523502E-2</v>
      </c>
      <c r="L33" s="345"/>
      <c r="M33" s="346"/>
      <c r="N33" s="357"/>
      <c r="O33" s="211"/>
      <c r="P33" s="212"/>
      <c r="Q33" s="213"/>
      <c r="R33" s="404"/>
      <c r="S33" s="111"/>
    </row>
    <row r="34" spans="1:19">
      <c r="A34" s="5"/>
      <c r="B34" s="625" t="s">
        <v>82</v>
      </c>
      <c r="C34" s="168"/>
      <c r="D34" s="220"/>
      <c r="E34" s="171"/>
      <c r="F34" s="299">
        <v>0</v>
      </c>
      <c r="G34" s="221">
        <f>C62</f>
        <v>0.90249999999999997</v>
      </c>
      <c r="H34" s="274">
        <f>(C98)*F34*G34</f>
        <v>0</v>
      </c>
      <c r="I34" s="170">
        <f t="shared" si="0"/>
        <v>0</v>
      </c>
      <c r="J34" s="256">
        <f>H34</f>
        <v>0</v>
      </c>
      <c r="K34" s="222"/>
      <c r="L34" s="222"/>
      <c r="M34" s="257"/>
      <c r="N34" s="357"/>
      <c r="O34" s="212"/>
      <c r="P34" s="212"/>
      <c r="Q34" s="213"/>
      <c r="R34" s="404"/>
      <c r="S34" s="111"/>
    </row>
    <row r="35" spans="1:19">
      <c r="A35" s="5"/>
      <c r="B35" s="443" t="s">
        <v>112</v>
      </c>
      <c r="C35" s="48"/>
      <c r="D35" s="49"/>
      <c r="E35" s="50"/>
      <c r="F35" s="51">
        <v>0</v>
      </c>
      <c r="G35" s="106">
        <f>C62</f>
        <v>0.90249999999999997</v>
      </c>
      <c r="H35" s="275">
        <f>(C93)*F35*G35</f>
        <v>0</v>
      </c>
      <c r="I35" s="267">
        <f t="shared" si="0"/>
        <v>0</v>
      </c>
      <c r="J35" s="197">
        <f>H35</f>
        <v>0</v>
      </c>
      <c r="K35" s="52"/>
      <c r="L35" s="52"/>
      <c r="M35" s="258"/>
      <c r="N35" s="368"/>
      <c r="O35" s="212"/>
      <c r="P35" s="212"/>
      <c r="Q35" s="213"/>
      <c r="R35" s="404"/>
      <c r="S35" s="111"/>
    </row>
    <row r="36" spans="1:19">
      <c r="A36" s="5"/>
      <c r="B36" s="504" t="s">
        <v>15</v>
      </c>
      <c r="C36" s="92"/>
      <c r="D36" s="93"/>
      <c r="E36" s="94"/>
      <c r="F36" s="298">
        <v>1</v>
      </c>
      <c r="G36" s="105">
        <f>C62</f>
        <v>0.90249999999999997</v>
      </c>
      <c r="H36" s="273">
        <f>E171*F36*G36</f>
        <v>4.6775914634146334E-2</v>
      </c>
      <c r="I36" s="149">
        <f t="shared" si="0"/>
        <v>8.9495597810006988E-2</v>
      </c>
      <c r="J36" s="255"/>
      <c r="K36" s="95"/>
      <c r="L36" s="95">
        <f>H36</f>
        <v>4.6775914634146334E-2</v>
      </c>
      <c r="M36" s="198"/>
      <c r="N36" s="357"/>
      <c r="O36" s="212"/>
      <c r="P36" s="211"/>
      <c r="Q36" s="214"/>
      <c r="R36" s="404"/>
      <c r="S36" s="111"/>
    </row>
    <row r="37" spans="1:19">
      <c r="A37" s="5"/>
      <c r="B37" s="504" t="s">
        <v>12</v>
      </c>
      <c r="C37" s="92"/>
      <c r="D37" s="93"/>
      <c r="E37" s="94"/>
      <c r="F37" s="298">
        <v>0</v>
      </c>
      <c r="G37" s="105">
        <f>C62</f>
        <v>0.90249999999999997</v>
      </c>
      <c r="H37" s="273">
        <f>E168*F37*G37</f>
        <v>0</v>
      </c>
      <c r="I37" s="149">
        <f t="shared" si="0"/>
        <v>0</v>
      </c>
      <c r="J37" s="255"/>
      <c r="K37" s="95"/>
      <c r="L37" s="95">
        <f>H37</f>
        <v>0</v>
      </c>
      <c r="M37" s="198"/>
      <c r="N37" s="357"/>
      <c r="O37" s="212"/>
      <c r="P37" s="211"/>
      <c r="Q37" s="214"/>
      <c r="R37" s="404"/>
      <c r="S37" s="111"/>
    </row>
    <row r="38" spans="1:19">
      <c r="A38" s="5"/>
      <c r="B38" s="504" t="s">
        <v>10</v>
      </c>
      <c r="C38" s="92"/>
      <c r="D38" s="93"/>
      <c r="E38" s="94"/>
      <c r="F38" s="298">
        <v>1</v>
      </c>
      <c r="G38" s="105">
        <f>C62</f>
        <v>0.90249999999999997</v>
      </c>
      <c r="H38" s="273">
        <f>E170*F38*G38</f>
        <v>2.476371951219512E-2</v>
      </c>
      <c r="I38" s="149">
        <f t="shared" si="0"/>
        <v>4.7380022370003702E-2</v>
      </c>
      <c r="J38" s="255"/>
      <c r="K38" s="95"/>
      <c r="L38" s="95">
        <f>H38</f>
        <v>2.476371951219512E-2</v>
      </c>
      <c r="M38" s="198"/>
      <c r="N38" s="357"/>
      <c r="O38" s="212"/>
      <c r="P38" s="211"/>
      <c r="Q38" s="214"/>
      <c r="R38" s="404"/>
      <c r="S38" s="111"/>
    </row>
    <row r="39" spans="1:19">
      <c r="A39" s="5"/>
      <c r="B39" s="504" t="s">
        <v>13</v>
      </c>
      <c r="C39" s="92"/>
      <c r="D39" s="93"/>
      <c r="E39" s="94"/>
      <c r="F39" s="298">
        <v>1</v>
      </c>
      <c r="G39" s="105">
        <f>C62</f>
        <v>0.90249999999999997</v>
      </c>
      <c r="H39" s="273">
        <f>E172*F39*G39</f>
        <v>3.61E-2</v>
      </c>
      <c r="I39" s="149">
        <f t="shared" si="0"/>
        <v>6.9069543721605398E-2</v>
      </c>
      <c r="J39" s="255"/>
      <c r="K39" s="95"/>
      <c r="L39" s="360">
        <f>H39</f>
        <v>3.61E-2</v>
      </c>
      <c r="M39" s="198"/>
      <c r="N39" s="357"/>
      <c r="O39" s="212"/>
      <c r="P39" s="211"/>
      <c r="Q39" s="214"/>
      <c r="R39" s="404"/>
      <c r="S39" s="111"/>
    </row>
    <row r="40" spans="1:19">
      <c r="A40" s="5"/>
      <c r="B40" s="504" t="s">
        <v>176</v>
      </c>
      <c r="C40" s="505">
        <v>0.18</v>
      </c>
      <c r="D40" s="93"/>
      <c r="E40" s="94"/>
      <c r="F40" s="398">
        <v>0.52</v>
      </c>
      <c r="G40" s="105">
        <v>1</v>
      </c>
      <c r="H40" s="273">
        <f>C40*$C$54/$C$57*F40*G40</f>
        <v>1.6697936210131333E-2</v>
      </c>
      <c r="I40" s="149">
        <f t="shared" si="0"/>
        <v>3.1947890169702051E-2</v>
      </c>
      <c r="J40" s="255"/>
      <c r="K40" s="95">
        <f>H40</f>
        <v>1.6697936210131333E-2</v>
      </c>
      <c r="L40" s="360"/>
      <c r="M40" s="198"/>
      <c r="N40" s="357"/>
      <c r="O40" s="211"/>
      <c r="P40" s="212"/>
      <c r="Q40" s="213"/>
      <c r="R40" s="404"/>
      <c r="S40" s="111"/>
    </row>
    <row r="41" spans="1:19">
      <c r="A41" s="5"/>
      <c r="B41" s="504" t="s">
        <v>11</v>
      </c>
      <c r="C41" s="92"/>
      <c r="D41" s="93"/>
      <c r="E41" s="94"/>
      <c r="F41" s="298">
        <v>1</v>
      </c>
      <c r="G41" s="105">
        <f>C62</f>
        <v>0.90249999999999997</v>
      </c>
      <c r="H41" s="273">
        <f>E169*F41*G41</f>
        <v>3.1642530487804882E-2</v>
      </c>
      <c r="I41" s="149">
        <f t="shared" si="0"/>
        <v>6.0541139695004742E-2</v>
      </c>
      <c r="J41" s="255"/>
      <c r="K41" s="95"/>
      <c r="L41" s="360">
        <f>H41</f>
        <v>3.1642530487804882E-2</v>
      </c>
      <c r="M41" s="198"/>
      <c r="N41" s="357"/>
      <c r="O41" s="212"/>
      <c r="P41" s="211"/>
      <c r="Q41" s="214"/>
      <c r="R41" s="404"/>
      <c r="S41" s="111"/>
    </row>
    <row r="42" spans="1:19">
      <c r="A42" s="5"/>
      <c r="B42" s="463" t="s">
        <v>38</v>
      </c>
      <c r="C42" s="63"/>
      <c r="D42" s="212" t="s">
        <v>110</v>
      </c>
      <c r="E42" s="211" t="s">
        <v>110</v>
      </c>
      <c r="F42" s="300">
        <v>1</v>
      </c>
      <c r="G42" s="107">
        <v>1</v>
      </c>
      <c r="H42" s="276">
        <f>SUM(J42:M42)</f>
        <v>2.5708079559581321E-2</v>
      </c>
      <c r="I42" s="163">
        <f t="shared" si="0"/>
        <v>4.9186851111883992E-2</v>
      </c>
      <c r="J42" s="207">
        <f>C144*F42*G42+N42</f>
        <v>4.3411204502882272E-3</v>
      </c>
      <c r="K42" s="65">
        <f>C145*F42*G42+O42</f>
        <v>1.1225050006718307E-2</v>
      </c>
      <c r="L42" s="361">
        <f>C146*F42*G42+P42</f>
        <v>1.0141909102574787E-2</v>
      </c>
      <c r="M42" s="208">
        <f>C147*F42*G42+Q42</f>
        <v>0</v>
      </c>
      <c r="N42" s="369"/>
      <c r="O42" s="223"/>
      <c r="P42" s="223"/>
      <c r="Q42" s="224"/>
      <c r="R42" s="404"/>
      <c r="S42" s="111"/>
    </row>
    <row r="43" spans="1:19">
      <c r="A43" s="5"/>
      <c r="B43" s="504" t="s">
        <v>14</v>
      </c>
      <c r="C43" s="92"/>
      <c r="D43" s="94"/>
      <c r="E43" s="94"/>
      <c r="F43" s="400">
        <v>0</v>
      </c>
      <c r="G43" s="105">
        <v>1</v>
      </c>
      <c r="H43" s="273">
        <f>E173*F43*G43</f>
        <v>0</v>
      </c>
      <c r="I43" s="149">
        <f t="shared" si="0"/>
        <v>0</v>
      </c>
      <c r="J43" s="255"/>
      <c r="K43" s="95"/>
      <c r="L43" s="360">
        <f>H43</f>
        <v>0</v>
      </c>
      <c r="M43" s="198"/>
      <c r="N43" s="357"/>
      <c r="O43" s="212"/>
      <c r="P43" s="211"/>
      <c r="Q43" s="214"/>
      <c r="R43" s="404"/>
      <c r="S43" s="111"/>
    </row>
    <row r="44" spans="1:19">
      <c r="A44" s="5"/>
      <c r="B44" s="449" t="s">
        <v>29</v>
      </c>
      <c r="C44" s="53"/>
      <c r="D44" s="56"/>
      <c r="E44" s="54"/>
      <c r="F44" s="399">
        <v>1</v>
      </c>
      <c r="G44" s="108">
        <f>C62</f>
        <v>0.90249999999999997</v>
      </c>
      <c r="H44" s="277">
        <f>$C$153*F44*G44</f>
        <v>1.98109756097561E-3</v>
      </c>
      <c r="I44" s="164">
        <f t="shared" si="0"/>
        <v>3.7904017896002967E-3</v>
      </c>
      <c r="J44" s="142"/>
      <c r="K44" s="55"/>
      <c r="L44" s="362">
        <f>H44</f>
        <v>1.98109756097561E-3</v>
      </c>
      <c r="M44" s="199"/>
      <c r="N44" s="357"/>
      <c r="O44" s="212"/>
      <c r="P44" s="211"/>
      <c r="Q44" s="214"/>
      <c r="R44" s="404"/>
      <c r="S44" s="111"/>
    </row>
    <row r="45" spans="1:19">
      <c r="A45" s="5"/>
      <c r="B45" s="504" t="s">
        <v>77</v>
      </c>
      <c r="C45" s="92">
        <f>C178</f>
        <v>0.05</v>
      </c>
      <c r="D45" s="94"/>
      <c r="E45" s="94"/>
      <c r="F45" s="301">
        <v>0</v>
      </c>
      <c r="G45" s="105">
        <v>1</v>
      </c>
      <c r="H45" s="273">
        <f>C45*$C$54/$C$57*F45*G45</f>
        <v>0</v>
      </c>
      <c r="I45" s="149">
        <f t="shared" si="0"/>
        <v>0</v>
      </c>
      <c r="J45" s="255"/>
      <c r="K45" s="95">
        <f>H45</f>
        <v>0</v>
      </c>
      <c r="L45" s="360"/>
      <c r="M45" s="198"/>
      <c r="N45" s="357"/>
      <c r="O45" s="211"/>
      <c r="P45" s="212"/>
      <c r="Q45" s="213"/>
      <c r="R45" s="404"/>
      <c r="S45" s="111"/>
    </row>
    <row r="46" spans="1:19">
      <c r="A46" s="5"/>
      <c r="B46" s="578" t="s">
        <v>73</v>
      </c>
      <c r="C46" s="150"/>
      <c r="D46" s="146"/>
      <c r="E46" s="146"/>
      <c r="F46" s="302">
        <v>1</v>
      </c>
      <c r="G46" s="263">
        <v>1</v>
      </c>
      <c r="H46" s="278">
        <f>C183*F46*G46</f>
        <v>0</v>
      </c>
      <c r="I46" s="358">
        <f t="shared" si="0"/>
        <v>0</v>
      </c>
      <c r="J46" s="259"/>
      <c r="K46" s="260"/>
      <c r="L46" s="363"/>
      <c r="M46" s="203">
        <f>H46</f>
        <v>0</v>
      </c>
      <c r="N46" s="357"/>
      <c r="O46" s="212"/>
      <c r="P46" s="212"/>
      <c r="Q46" s="214"/>
      <c r="R46" s="404"/>
      <c r="S46" s="111"/>
    </row>
    <row r="47" spans="1:19" ht="15" thickBot="1">
      <c r="A47" s="5"/>
      <c r="B47" s="579" t="s">
        <v>76</v>
      </c>
      <c r="C47" s="159"/>
      <c r="D47" s="359"/>
      <c r="E47" s="359"/>
      <c r="F47" s="303">
        <v>1</v>
      </c>
      <c r="G47" s="264">
        <v>1</v>
      </c>
      <c r="H47" s="279">
        <f>C187*F47*G47</f>
        <v>0</v>
      </c>
      <c r="I47" s="356">
        <f t="shared" si="0"/>
        <v>0</v>
      </c>
      <c r="J47" s="261"/>
      <c r="K47" s="262"/>
      <c r="L47" s="262"/>
      <c r="M47" s="204">
        <f>H47</f>
        <v>0</v>
      </c>
      <c r="N47" s="370"/>
      <c r="O47" s="215"/>
      <c r="P47" s="215"/>
      <c r="Q47" s="216"/>
      <c r="R47" s="404"/>
      <c r="S47" s="111"/>
    </row>
    <row r="48" spans="1:19" ht="15" thickBot="1">
      <c r="A48" s="5"/>
      <c r="B48" s="37" t="s">
        <v>6</v>
      </c>
      <c r="C48" s="172"/>
      <c r="D48" s="2"/>
      <c r="E48" s="2"/>
      <c r="F48" s="2"/>
      <c r="G48" s="2"/>
      <c r="H48" s="42">
        <f>SUM(H28:H47)</f>
        <v>0.52266162558574547</v>
      </c>
      <c r="I48" s="147">
        <f t="shared" ref="I48:M48" si="1">SUM(I28:I47)</f>
        <v>1</v>
      </c>
      <c r="J48" s="206">
        <f t="shared" si="1"/>
        <v>0.14470401500960736</v>
      </c>
      <c r="K48" s="209">
        <f t="shared" si="1"/>
        <v>0.1803528199183459</v>
      </c>
      <c r="L48" s="209">
        <f t="shared" si="1"/>
        <v>0.19760479065779213</v>
      </c>
      <c r="M48" s="210">
        <f t="shared" si="1"/>
        <v>0</v>
      </c>
      <c r="N48" s="22"/>
      <c r="O48" s="209"/>
      <c r="P48" s="209"/>
      <c r="Q48" s="210"/>
      <c r="R48" s="8"/>
      <c r="S48" s="111"/>
    </row>
    <row r="49" spans="1:19">
      <c r="A49" s="5"/>
      <c r="G49" s="401"/>
      <c r="H49" s="404"/>
      <c r="K49" s="16"/>
      <c r="Q49" s="8"/>
      <c r="R49" s="8"/>
      <c r="S49" s="111"/>
    </row>
    <row r="50" spans="1:19">
      <c r="A50" s="5"/>
      <c r="Q50" s="8"/>
      <c r="R50" s="8"/>
      <c r="S50" s="111"/>
    </row>
    <row r="51" spans="1:19" ht="28.8">
      <c r="A51" s="5"/>
      <c r="B51" s="133" t="s">
        <v>57</v>
      </c>
      <c r="C51" s="24"/>
      <c r="D51" s="24"/>
      <c r="E51" s="24"/>
      <c r="F51" s="24"/>
      <c r="G51" s="134"/>
      <c r="H51" s="24"/>
      <c r="I51" s="24"/>
      <c r="J51" s="24"/>
      <c r="Q51" s="8"/>
      <c r="R51" s="8"/>
      <c r="S51" s="111"/>
    </row>
    <row r="52" spans="1:19">
      <c r="A52" s="5"/>
      <c r="E52" s="111"/>
      <c r="Q52" s="8"/>
      <c r="R52" s="8"/>
      <c r="S52" s="111"/>
    </row>
    <row r="53" spans="1:19">
      <c r="A53" s="5"/>
      <c r="B53" s="379" t="s">
        <v>203</v>
      </c>
      <c r="C53" s="378"/>
      <c r="D53" s="380"/>
      <c r="H53" s="3"/>
      <c r="Q53" s="8"/>
      <c r="R53" s="8"/>
      <c r="S53" s="111"/>
    </row>
    <row r="54" spans="1:19">
      <c r="A54" s="5"/>
      <c r="B54" s="381" t="s">
        <v>197</v>
      </c>
      <c r="C54" s="382">
        <v>72</v>
      </c>
      <c r="D54" s="383" t="s">
        <v>200</v>
      </c>
      <c r="H54" s="354"/>
      <c r="Q54" s="8"/>
      <c r="R54" s="8"/>
      <c r="S54" s="111"/>
    </row>
    <row r="55" spans="1:19">
      <c r="A55" s="5"/>
      <c r="B55" s="4" t="s">
        <v>196</v>
      </c>
      <c r="C55" s="111">
        <v>89</v>
      </c>
      <c r="D55" s="66" t="s">
        <v>1</v>
      </c>
      <c r="M55" s="3"/>
      <c r="Q55" s="8"/>
      <c r="R55" s="8"/>
      <c r="S55" s="111"/>
    </row>
    <row r="56" spans="1:19">
      <c r="A56" s="5"/>
      <c r="B56" s="5" t="s">
        <v>198</v>
      </c>
      <c r="C56" s="130">
        <f>C54*0.156^2/(C55/100)</f>
        <v>1.9687550561797753</v>
      </c>
      <c r="D56" s="66" t="s">
        <v>199</v>
      </c>
      <c r="H56" s="321"/>
      <c r="M56" s="3"/>
      <c r="Q56" s="9"/>
      <c r="R56" s="9"/>
      <c r="S56" s="111"/>
    </row>
    <row r="57" spans="1:19">
      <c r="A57" s="5"/>
      <c r="B57" s="352" t="s">
        <v>201</v>
      </c>
      <c r="C57" s="377">
        <f>C56*1000*$C$14/100</f>
        <v>403.5947865168539</v>
      </c>
      <c r="D57" s="350" t="s">
        <v>202</v>
      </c>
      <c r="M57" s="3"/>
      <c r="Q57" s="16"/>
      <c r="R57" s="16"/>
      <c r="S57" s="111"/>
    </row>
    <row r="58" spans="1:19">
      <c r="A58" s="5"/>
      <c r="M58" s="3"/>
      <c r="Q58" s="16"/>
      <c r="R58" s="16"/>
      <c r="S58" s="111"/>
    </row>
    <row r="59" spans="1:19">
      <c r="A59" s="5"/>
      <c r="B59" s="487" t="s">
        <v>65</v>
      </c>
      <c r="C59" s="488"/>
      <c r="D59" s="489"/>
      <c r="M59" s="3"/>
      <c r="N59" s="16"/>
      <c r="O59" s="16"/>
      <c r="P59" s="16"/>
      <c r="Q59" s="16"/>
      <c r="R59" s="16"/>
      <c r="S59" s="111"/>
    </row>
    <row r="60" spans="1:19">
      <c r="A60" s="5"/>
      <c r="B60" s="405" t="s">
        <v>49</v>
      </c>
      <c r="C60" s="526">
        <v>2</v>
      </c>
      <c r="D60" s="467" t="s">
        <v>31</v>
      </c>
      <c r="M60" s="3"/>
      <c r="N60" s="16"/>
      <c r="O60" s="16"/>
      <c r="P60" s="16"/>
      <c r="Q60" s="16"/>
      <c r="R60" s="16"/>
      <c r="S60" s="111"/>
    </row>
    <row r="61" spans="1:19">
      <c r="A61" s="5"/>
      <c r="B61" s="405" t="s">
        <v>48</v>
      </c>
      <c r="C61" s="526">
        <v>5</v>
      </c>
      <c r="D61" s="467" t="s">
        <v>1</v>
      </c>
      <c r="E61" s="1"/>
      <c r="H61" s="3"/>
      <c r="N61" s="16"/>
      <c r="O61" s="16"/>
      <c r="P61" s="16"/>
      <c r="Q61" s="16"/>
      <c r="R61" s="16"/>
      <c r="S61" s="111"/>
    </row>
    <row r="62" spans="1:19">
      <c r="A62" s="5"/>
      <c r="B62" s="525" t="s">
        <v>47</v>
      </c>
      <c r="C62" s="434">
        <f>(1-C61/100)^C60</f>
        <v>0.90249999999999997</v>
      </c>
      <c r="D62" s="524" t="s">
        <v>31</v>
      </c>
      <c r="M62" s="3"/>
      <c r="N62" s="16"/>
      <c r="O62" s="16"/>
      <c r="P62" s="16"/>
      <c r="Q62" s="16"/>
      <c r="R62" s="16"/>
      <c r="S62" s="111"/>
    </row>
    <row r="63" spans="1:19">
      <c r="A63" s="5"/>
      <c r="M63" s="3"/>
      <c r="N63" s="16"/>
      <c r="O63" s="16"/>
      <c r="P63" s="16"/>
      <c r="Q63" s="16"/>
      <c r="R63" s="16"/>
      <c r="S63" s="111"/>
    </row>
    <row r="64" spans="1:19">
      <c r="A64" s="5"/>
      <c r="B64" s="83" t="s">
        <v>36</v>
      </c>
      <c r="C64" s="84"/>
      <c r="D64" s="85"/>
      <c r="N64" s="16"/>
      <c r="O64" s="16"/>
      <c r="P64" s="16"/>
      <c r="Q64" s="16"/>
      <c r="R64" s="16"/>
      <c r="S64" s="111"/>
    </row>
    <row r="65" spans="1:19">
      <c r="A65" s="5"/>
      <c r="B65" s="67" t="s">
        <v>18</v>
      </c>
      <c r="C65" s="537">
        <v>2329</v>
      </c>
      <c r="D65" s="69" t="s">
        <v>20</v>
      </c>
      <c r="K65" s="3"/>
      <c r="N65" s="16"/>
      <c r="O65" s="16"/>
      <c r="P65" s="16"/>
      <c r="Q65" s="16"/>
      <c r="R65" s="16"/>
      <c r="S65" s="111"/>
    </row>
    <row r="66" spans="1:19" ht="15" customHeight="1">
      <c r="A66" s="5"/>
      <c r="B66" s="67" t="s">
        <v>204</v>
      </c>
      <c r="C66" s="68">
        <f>0.156*0.156*(C15/10^6/C16)*C65</f>
        <v>3.1488080000000003E-3</v>
      </c>
      <c r="D66" s="69" t="s">
        <v>19</v>
      </c>
      <c r="N66" s="16"/>
      <c r="O66" s="16"/>
      <c r="P66" s="16"/>
      <c r="Q66" s="16"/>
      <c r="R66" s="16"/>
      <c r="S66" s="111"/>
    </row>
    <row r="67" spans="1:19">
      <c r="A67" s="5"/>
      <c r="B67" s="384" t="s">
        <v>54</v>
      </c>
      <c r="C67" s="385">
        <f>C66*C17</f>
        <v>7.8720200000000004E-2</v>
      </c>
      <c r="D67" s="386" t="s">
        <v>21</v>
      </c>
      <c r="M67" s="16"/>
      <c r="N67" s="16"/>
      <c r="O67" s="8"/>
      <c r="P67" s="16"/>
      <c r="Q67" s="16"/>
      <c r="R67" s="16"/>
      <c r="S67" s="111"/>
    </row>
    <row r="68" spans="1:19">
      <c r="A68" s="5"/>
      <c r="J68" s="111"/>
      <c r="K68" s="414"/>
      <c r="L68" s="414"/>
      <c r="M68" s="414"/>
      <c r="N68" s="414"/>
      <c r="O68" s="129"/>
      <c r="P68" s="16"/>
      <c r="Q68" s="16"/>
      <c r="R68" s="16"/>
      <c r="S68" s="111"/>
    </row>
    <row r="69" spans="1:19">
      <c r="A69" s="5"/>
      <c r="B69" s="495" t="s">
        <v>192</v>
      </c>
      <c r="C69" s="496"/>
      <c r="D69" s="497"/>
      <c r="E69" s="497"/>
      <c r="F69" s="497"/>
      <c r="G69" s="497"/>
      <c r="H69" s="497"/>
      <c r="I69" s="497"/>
      <c r="J69" s="498"/>
      <c r="K69" s="414"/>
      <c r="L69" s="414"/>
      <c r="M69" s="414"/>
      <c r="N69" s="414"/>
      <c r="O69" s="129"/>
      <c r="P69" s="16"/>
      <c r="Q69" s="16"/>
      <c r="R69" s="16"/>
      <c r="S69" s="111"/>
    </row>
    <row r="70" spans="1:19">
      <c r="A70" s="5"/>
      <c r="B70" s="462" t="s">
        <v>128</v>
      </c>
      <c r="C70" s="460">
        <v>347</v>
      </c>
      <c r="D70" s="460" t="s">
        <v>129</v>
      </c>
      <c r="E70" s="460"/>
      <c r="F70" s="460"/>
      <c r="G70" s="460"/>
      <c r="H70" s="460"/>
      <c r="I70" s="460"/>
      <c r="J70" s="491"/>
      <c r="K70" s="414"/>
      <c r="L70" s="414"/>
      <c r="M70" s="414"/>
      <c r="N70" s="414"/>
      <c r="O70" s="129"/>
      <c r="P70" s="16"/>
      <c r="Q70" s="16"/>
      <c r="R70" s="16"/>
      <c r="S70" s="111"/>
    </row>
    <row r="71" spans="1:19">
      <c r="A71" s="5"/>
      <c r="B71" s="462" t="s">
        <v>130</v>
      </c>
      <c r="C71" s="635">
        <v>14.4</v>
      </c>
      <c r="D71" s="460" t="s">
        <v>31</v>
      </c>
      <c r="E71" s="460"/>
      <c r="F71" s="460"/>
      <c r="G71" s="460"/>
      <c r="H71" s="460"/>
      <c r="I71" s="460"/>
      <c r="J71" s="491"/>
      <c r="K71" s="414"/>
      <c r="L71" s="414"/>
      <c r="M71" s="414"/>
      <c r="N71" s="414"/>
      <c r="O71" s="129"/>
      <c r="P71" s="16"/>
      <c r="Q71" s="16"/>
      <c r="R71" s="16"/>
      <c r="S71" s="111"/>
    </row>
    <row r="72" spans="1:19">
      <c r="A72" s="5"/>
      <c r="B72" s="462" t="s">
        <v>90</v>
      </c>
      <c r="C72" s="514">
        <f>C70*10^6/(C71/100*1000)</f>
        <v>2409722.2222222215</v>
      </c>
      <c r="D72" s="460" t="s">
        <v>34</v>
      </c>
      <c r="E72" s="460"/>
      <c r="F72" s="460"/>
      <c r="G72" s="460"/>
      <c r="H72" s="460"/>
      <c r="I72" s="460"/>
      <c r="J72" s="491"/>
      <c r="K72" s="414"/>
      <c r="L72" s="414"/>
      <c r="M72" s="414"/>
      <c r="N72" s="414"/>
      <c r="O72" s="129"/>
      <c r="P72" s="16"/>
      <c r="Q72" s="111"/>
      <c r="S72" s="111"/>
    </row>
    <row r="73" spans="1:19">
      <c r="A73" s="5"/>
      <c r="B73" s="462" t="s">
        <v>268</v>
      </c>
      <c r="C73" s="460">
        <v>5</v>
      </c>
      <c r="D73" s="460" t="s">
        <v>133</v>
      </c>
      <c r="E73" s="460"/>
      <c r="F73" s="460"/>
      <c r="G73" s="460"/>
      <c r="H73" s="460"/>
      <c r="I73" s="460"/>
      <c r="J73" s="491"/>
      <c r="K73" s="414"/>
      <c r="L73" s="414"/>
      <c r="M73" s="414"/>
      <c r="N73" s="414"/>
      <c r="O73" s="129"/>
      <c r="P73" s="16"/>
      <c r="Q73" s="111"/>
      <c r="S73" s="111"/>
    </row>
    <row r="74" spans="1:19">
      <c r="A74" s="5"/>
      <c r="B74" s="462" t="s">
        <v>269</v>
      </c>
      <c r="C74" s="634">
        <v>39</v>
      </c>
      <c r="D74" s="460" t="s">
        <v>133</v>
      </c>
      <c r="E74" s="460"/>
      <c r="F74" s="460"/>
      <c r="G74" s="460"/>
      <c r="H74" s="460"/>
      <c r="I74" s="460"/>
      <c r="J74" s="491"/>
      <c r="K74" s="414"/>
      <c r="L74" s="414"/>
      <c r="M74" s="414"/>
      <c r="N74" s="414"/>
      <c r="O74" s="129"/>
      <c r="P74" s="16"/>
      <c r="Q74" s="111"/>
      <c r="S74" s="111"/>
    </row>
    <row r="75" spans="1:19">
      <c r="A75" s="5"/>
      <c r="B75" s="750"/>
      <c r="C75" s="460"/>
      <c r="D75" s="460"/>
      <c r="E75" s="460"/>
      <c r="F75" s="460"/>
      <c r="G75" s="460"/>
      <c r="H75" s="460"/>
      <c r="I75" s="460"/>
      <c r="J75" s="491"/>
      <c r="K75" s="414"/>
      <c r="L75" s="414"/>
      <c r="M75" s="414"/>
      <c r="N75" s="749"/>
      <c r="O75" s="16"/>
      <c r="P75" s="16"/>
      <c r="Q75" s="111"/>
      <c r="S75" s="111"/>
    </row>
    <row r="76" spans="1:19">
      <c r="A76" s="5"/>
      <c r="B76" s="462"/>
      <c r="C76" s="460" t="s">
        <v>138</v>
      </c>
      <c r="D76" s="460" t="s">
        <v>131</v>
      </c>
      <c r="E76" s="460" t="s">
        <v>235</v>
      </c>
      <c r="F76" s="460" t="s">
        <v>236</v>
      </c>
      <c r="G76" s="460" t="s">
        <v>205</v>
      </c>
      <c r="H76" s="492" t="s">
        <v>135</v>
      </c>
      <c r="I76" s="460" t="s">
        <v>270</v>
      </c>
      <c r="J76" s="491"/>
      <c r="K76" s="414"/>
      <c r="L76" s="414"/>
      <c r="M76" s="414"/>
      <c r="N76" s="414"/>
      <c r="O76" s="355"/>
      <c r="P76" s="16"/>
      <c r="Q76" s="111"/>
      <c r="S76" s="111"/>
    </row>
    <row r="77" spans="1:19">
      <c r="A77" s="5"/>
      <c r="B77" s="462" t="s">
        <v>132</v>
      </c>
      <c r="C77" s="634">
        <f>28000+18500</f>
        <v>46500</v>
      </c>
      <c r="D77" s="514">
        <f>(80.5*0.85+16+76.8*0.85+13)*1.27*1000000*0.9*1.15-18000000</f>
        <v>195867587.24999997</v>
      </c>
      <c r="E77" s="514">
        <f>(80.5*0.85+16*0+76.8*0.85+13*0)*1.27*1000000*0.9*1.15/C73</f>
        <v>35149707.449999988</v>
      </c>
      <c r="F77" s="514">
        <f>(80.5*0.85*0+16*1+76.8*0.85*0+13*1)*1.27*1000000*0.9*1.15/C74</f>
        <v>977411.5384615385</v>
      </c>
      <c r="G77" s="635">
        <f>(E77+F77)/$C$72</f>
        <v>14.992233816537352</v>
      </c>
      <c r="H77" s="637">
        <f>G77/(($C$14/100)*1000)</f>
        <v>7.3132847885548052E-2</v>
      </c>
      <c r="I77" s="490">
        <f>D77/1000000/$C$70</f>
        <v>0.56445990561959647</v>
      </c>
      <c r="J77" s="491"/>
      <c r="K77" s="414"/>
      <c r="L77" s="414"/>
      <c r="M77" s="414"/>
      <c r="N77" s="414"/>
      <c r="O77" s="355"/>
      <c r="P77" s="16"/>
      <c r="Q77" s="111"/>
      <c r="S77" s="111"/>
    </row>
    <row r="78" spans="1:19">
      <c r="A78" s="5"/>
      <c r="B78" s="462" t="s">
        <v>44</v>
      </c>
      <c r="C78" s="634">
        <v>18000</v>
      </c>
      <c r="D78" s="514">
        <f>(110*0.85+16.3)*1.27*1000000*0.9*1.15</f>
        <v>144326610</v>
      </c>
      <c r="E78" s="514">
        <f>(110*0.85+16.3*0)*1.27*1000000*0.9*1.15/C73</f>
        <v>24580214.999999996</v>
      </c>
      <c r="F78" s="514">
        <f>(110*0.85*0+16.3*1)*1.27*1000000*0.9*1.15/C74</f>
        <v>549372.69230769225</v>
      </c>
      <c r="G78" s="635">
        <f t="shared" ref="G78:G79" si="2">(E78+F78)/$C$72</f>
        <v>10.428416794502329</v>
      </c>
      <c r="H78" s="637">
        <f>G78/(($C$14/100)*1000)</f>
        <v>5.0870325826840632E-2</v>
      </c>
      <c r="I78" s="490">
        <f t="shared" ref="I78:I79" si="3">D78/1000000/$C$70</f>
        <v>0.41592682997118152</v>
      </c>
      <c r="J78" s="491"/>
      <c r="K78" s="414"/>
      <c r="L78" s="414"/>
      <c r="M78" s="414"/>
      <c r="N78" s="414"/>
      <c r="O78" s="355"/>
      <c r="P78" s="16"/>
      <c r="Q78" s="111"/>
      <c r="S78" s="111"/>
    </row>
    <row r="79" spans="1:19">
      <c r="A79" s="5"/>
      <c r="B79" s="462" t="s">
        <v>45</v>
      </c>
      <c r="C79" s="634">
        <v>20000</v>
      </c>
      <c r="D79" s="514">
        <f>(73.5*0.85+20)*1.27*1000000*0.6*1.15</f>
        <v>72272842.49999997</v>
      </c>
      <c r="E79" s="514">
        <f>(73.5*0.85+20*0)*1.27*1000000*0.6*1.15/C73</f>
        <v>10949368.499999998</v>
      </c>
      <c r="F79" s="514">
        <f>(73.5*0.85*0+20*1)*1.27*1000000*0.6*1.15/C74</f>
        <v>449384.61538461538</v>
      </c>
      <c r="G79" s="635">
        <f t="shared" si="2"/>
        <v>4.7303182957215704</v>
      </c>
      <c r="H79" s="637">
        <f>G79/(($C$14/100)*1000)</f>
        <v>2.307472339376376E-2</v>
      </c>
      <c r="I79" s="490">
        <f t="shared" si="3"/>
        <v>0.20827908501440912</v>
      </c>
      <c r="J79" s="491"/>
      <c r="K79" s="414"/>
      <c r="L79" s="414"/>
      <c r="M79" s="414"/>
      <c r="N79" s="414"/>
      <c r="O79" s="355"/>
      <c r="P79" s="16"/>
      <c r="Q79" s="111"/>
      <c r="S79" s="111"/>
    </row>
    <row r="80" spans="1:19">
      <c r="A80" s="5"/>
      <c r="B80" s="493"/>
      <c r="C80" s="494" t="s">
        <v>194</v>
      </c>
      <c r="D80" s="808">
        <f>SUM(D77:D79)/1000000/C70</f>
        <v>1.1886658206051874</v>
      </c>
      <c r="E80" s="494"/>
      <c r="F80" s="494"/>
      <c r="G80" s="809" t="s">
        <v>136</v>
      </c>
      <c r="H80" s="810">
        <f>SUM(H77:H79)</f>
        <v>0.14707789710615243</v>
      </c>
      <c r="I80" s="494"/>
      <c r="J80" s="793"/>
      <c r="K80" s="414"/>
      <c r="L80" s="414"/>
      <c r="M80" s="414"/>
      <c r="N80" s="414"/>
      <c r="O80" s="129"/>
      <c r="P80" s="16"/>
      <c r="Q80" s="111"/>
      <c r="S80" s="111"/>
    </row>
    <row r="81" spans="1:19">
      <c r="A81" s="5"/>
      <c r="B81" s="16"/>
      <c r="C81" s="16"/>
      <c r="D81" s="16"/>
      <c r="E81" s="7"/>
      <c r="F81" s="7"/>
      <c r="G81" s="16"/>
      <c r="H81" s="16"/>
      <c r="I81" s="16"/>
      <c r="J81" s="16"/>
      <c r="K81" s="16"/>
      <c r="L81" s="16"/>
      <c r="M81" s="8"/>
      <c r="N81" s="227"/>
      <c r="S81" s="111"/>
    </row>
    <row r="82" spans="1:19">
      <c r="A82" s="5"/>
      <c r="B82" s="237" t="s">
        <v>126</v>
      </c>
      <c r="C82" s="238"/>
      <c r="D82" s="238"/>
      <c r="E82" s="239"/>
      <c r="F82" s="10"/>
      <c r="G82" s="10"/>
      <c r="H82" s="10"/>
      <c r="I82" s="10"/>
      <c r="J82" s="16"/>
      <c r="K82" s="16"/>
      <c r="L82" s="16"/>
      <c r="M82" s="8"/>
      <c r="N82" s="227"/>
      <c r="S82" s="111"/>
    </row>
    <row r="83" spans="1:19">
      <c r="A83" s="5"/>
      <c r="B83" s="148" t="s">
        <v>139</v>
      </c>
      <c r="C83" s="566">
        <v>0.05</v>
      </c>
      <c r="D83" s="241" t="s">
        <v>31</v>
      </c>
      <c r="E83" s="242"/>
      <c r="F83" s="10"/>
      <c r="G83" s="10"/>
      <c r="H83" s="10"/>
      <c r="I83" s="10"/>
      <c r="J83" s="16"/>
      <c r="K83" s="16"/>
      <c r="L83" s="16"/>
      <c r="M83" s="8"/>
      <c r="N83" s="227"/>
      <c r="S83" s="111"/>
    </row>
    <row r="84" spans="1:19">
      <c r="A84" s="5"/>
      <c r="B84" s="148"/>
      <c r="C84" s="161" t="s">
        <v>134</v>
      </c>
      <c r="D84" s="161" t="s">
        <v>205</v>
      </c>
      <c r="E84" s="243" t="s">
        <v>135</v>
      </c>
      <c r="F84" s="10"/>
      <c r="G84" s="10"/>
      <c r="H84" s="10"/>
      <c r="I84" s="10"/>
      <c r="J84" s="16"/>
      <c r="K84" s="16"/>
      <c r="L84" s="16"/>
      <c r="M84" s="8"/>
      <c r="N84" s="227"/>
      <c r="S84" s="111"/>
    </row>
    <row r="85" spans="1:19">
      <c r="A85" s="5"/>
      <c r="B85" s="148" t="s">
        <v>132</v>
      </c>
      <c r="C85" s="244">
        <f>$C$83*D77</f>
        <v>9793379.3624999989</v>
      </c>
      <c r="D85" s="240">
        <f>C85/$C$72</f>
        <v>4.0641113204610955</v>
      </c>
      <c r="E85" s="245">
        <f>D85/(($C$14/100)*1000)</f>
        <v>1.9824933270541929E-2</v>
      </c>
      <c r="F85" s="10"/>
      <c r="G85" s="10"/>
      <c r="H85" s="10"/>
      <c r="I85" s="10"/>
      <c r="J85" s="16"/>
      <c r="K85" s="16"/>
      <c r="L85" s="16"/>
      <c r="M85" s="8"/>
      <c r="N85" s="227"/>
      <c r="S85" s="111"/>
    </row>
    <row r="86" spans="1:19">
      <c r="A86" s="5"/>
      <c r="B86" s="148" t="s">
        <v>44</v>
      </c>
      <c r="C86" s="244">
        <f>$C$83*D78</f>
        <v>7216330.5</v>
      </c>
      <c r="D86" s="240">
        <f>C86/$C$72</f>
        <v>2.9946731757925082</v>
      </c>
      <c r="E86" s="245">
        <f>D86/(($C$14/100)*1000)</f>
        <v>1.4608161833134186E-2</v>
      </c>
      <c r="F86" s="10"/>
      <c r="G86" s="10"/>
      <c r="H86" s="10"/>
      <c r="I86" s="10"/>
      <c r="J86" s="16"/>
      <c r="K86" s="16"/>
      <c r="L86" s="16"/>
      <c r="M86" s="8"/>
      <c r="N86" s="227"/>
      <c r="S86" s="111"/>
    </row>
    <row r="87" spans="1:19">
      <c r="A87" s="5"/>
      <c r="B87" s="148" t="s">
        <v>45</v>
      </c>
      <c r="C87" s="244">
        <f>$C$83*D79</f>
        <v>3613642.1249999986</v>
      </c>
      <c r="D87" s="240">
        <f>C87/$C$72</f>
        <v>1.4996094121037462</v>
      </c>
      <c r="E87" s="245">
        <f>D87/(($C$14/100)*1000)</f>
        <v>7.3151678639207136E-3</v>
      </c>
      <c r="F87" s="10"/>
      <c r="G87" s="10"/>
      <c r="H87" s="10"/>
      <c r="I87" s="10"/>
      <c r="J87" s="16"/>
      <c r="K87" s="16"/>
      <c r="L87" s="16"/>
      <c r="M87" s="8"/>
      <c r="N87" s="227"/>
      <c r="S87" s="111"/>
    </row>
    <row r="88" spans="1:19">
      <c r="A88" s="5"/>
      <c r="B88" s="246"/>
      <c r="C88" s="247"/>
      <c r="D88" s="248" t="s">
        <v>136</v>
      </c>
      <c r="E88" s="249">
        <f>SUM(E85:E87)</f>
        <v>4.174826296759683E-2</v>
      </c>
      <c r="F88" s="10"/>
      <c r="G88" s="10"/>
      <c r="H88" s="10"/>
      <c r="I88" s="10"/>
      <c r="J88" s="16"/>
      <c r="K88" s="16"/>
      <c r="L88" s="16"/>
      <c r="M88" s="8"/>
      <c r="N88" s="227"/>
      <c r="S88" s="111"/>
    </row>
    <row r="89" spans="1:19">
      <c r="A89" s="5"/>
      <c r="B89" s="10"/>
      <c r="C89" s="10"/>
      <c r="D89" s="10"/>
      <c r="E89" s="10"/>
      <c r="F89" s="10"/>
      <c r="G89" s="10"/>
      <c r="H89" s="10"/>
      <c r="I89" s="10"/>
      <c r="J89" s="16"/>
      <c r="K89" s="16"/>
      <c r="L89" s="16"/>
      <c r="M89" s="8"/>
      <c r="N89" s="227"/>
      <c r="S89" s="111"/>
    </row>
    <row r="90" spans="1:19">
      <c r="A90" s="5"/>
      <c r="B90" s="481" t="s">
        <v>112</v>
      </c>
      <c r="C90" s="81"/>
      <c r="D90" s="82"/>
      <c r="E90" s="10"/>
      <c r="F90" s="10"/>
      <c r="G90" s="10"/>
      <c r="H90" s="10"/>
      <c r="I90" s="10"/>
      <c r="J90" s="16"/>
      <c r="K90" s="16"/>
      <c r="L90" s="16"/>
      <c r="M90" s="8"/>
      <c r="N90" s="227"/>
      <c r="S90" s="111"/>
    </row>
    <row r="91" spans="1:19">
      <c r="A91" s="5"/>
      <c r="B91" s="830" t="s">
        <v>240</v>
      </c>
      <c r="C91" s="828">
        <f>21336000*1.05</f>
        <v>22402800</v>
      </c>
      <c r="D91" s="692" t="s">
        <v>33</v>
      </c>
      <c r="E91" s="10"/>
      <c r="F91" s="10"/>
      <c r="G91" s="10"/>
      <c r="H91" s="10"/>
      <c r="I91" s="10"/>
      <c r="J91" s="16"/>
      <c r="K91" s="16"/>
      <c r="L91" s="16"/>
      <c r="M91" s="8"/>
      <c r="N91" s="227"/>
      <c r="S91" s="111"/>
    </row>
    <row r="92" spans="1:19">
      <c r="A92" s="5"/>
      <c r="B92" s="50" t="s">
        <v>137</v>
      </c>
      <c r="C92" s="283">
        <f>C91/C72</f>
        <v>9.2968391930835761</v>
      </c>
      <c r="D92" s="70" t="s">
        <v>206</v>
      </c>
      <c r="E92" s="10"/>
      <c r="F92" s="10"/>
      <c r="G92" s="10"/>
      <c r="H92" s="10"/>
      <c r="I92" s="10"/>
      <c r="J92" s="16"/>
      <c r="K92" s="16"/>
      <c r="L92" s="16"/>
      <c r="M92" s="8"/>
      <c r="N92" s="227"/>
      <c r="S92" s="111"/>
    </row>
    <row r="93" spans="1:19">
      <c r="A93" s="5"/>
      <c r="B93" s="280" t="s">
        <v>32</v>
      </c>
      <c r="C93" s="284">
        <f>C92/(($C$14/100)*1000)</f>
        <v>4.5350435088212564E-2</v>
      </c>
      <c r="D93" s="281" t="s">
        <v>3</v>
      </c>
      <c r="E93" s="10"/>
      <c r="F93" s="10"/>
      <c r="G93" s="10"/>
      <c r="H93" s="10"/>
      <c r="I93" s="10"/>
      <c r="J93" s="16"/>
      <c r="K93" s="16"/>
      <c r="L93" s="16"/>
      <c r="M93" s="8"/>
      <c r="N93" s="227"/>
      <c r="S93" s="111"/>
    </row>
    <row r="94" spans="1:19">
      <c r="A94" s="5"/>
      <c r="B94" s="10"/>
      <c r="C94" s="10"/>
      <c r="D94" s="10"/>
      <c r="E94" s="10"/>
      <c r="F94" s="10"/>
      <c r="G94" s="10"/>
      <c r="H94" s="10"/>
      <c r="I94" s="347"/>
      <c r="J94" s="16"/>
      <c r="K94" s="16"/>
      <c r="L94" s="16"/>
      <c r="M94" s="8"/>
      <c r="N94" s="227"/>
      <c r="S94" s="111"/>
    </row>
    <row r="95" spans="1:19">
      <c r="A95" s="5"/>
      <c r="B95" s="695" t="s">
        <v>82</v>
      </c>
      <c r="C95" s="286"/>
      <c r="D95" s="287"/>
      <c r="E95" s="10"/>
      <c r="F95" s="10"/>
      <c r="G95" s="10"/>
      <c r="H95" s="10"/>
      <c r="I95" s="348"/>
      <c r="J95" s="16"/>
      <c r="K95" s="16"/>
      <c r="L95" s="16"/>
      <c r="M95" s="8"/>
      <c r="N95" s="227"/>
      <c r="S95" s="111"/>
    </row>
    <row r="96" spans="1:19">
      <c r="A96" s="5"/>
      <c r="B96" s="698" t="s">
        <v>240</v>
      </c>
      <c r="C96" s="829">
        <v>10287000</v>
      </c>
      <c r="D96" s="699" t="s">
        <v>33</v>
      </c>
      <c r="E96" s="10"/>
      <c r="F96" s="10"/>
      <c r="G96" s="10"/>
      <c r="H96" s="10"/>
      <c r="I96" s="10"/>
      <c r="J96" s="16"/>
      <c r="K96" s="16"/>
      <c r="L96" s="16"/>
      <c r="M96" s="8"/>
      <c r="N96" s="227"/>
      <c r="S96" s="111"/>
    </row>
    <row r="97" spans="1:19">
      <c r="A97" s="5"/>
      <c r="B97" s="171" t="s">
        <v>137</v>
      </c>
      <c r="C97" s="169">
        <f>C96/C72</f>
        <v>4.2689567723342954</v>
      </c>
      <c r="D97" s="184" t="s">
        <v>206</v>
      </c>
      <c r="E97" s="10"/>
      <c r="F97" s="10"/>
      <c r="G97" s="10"/>
      <c r="H97" s="10"/>
      <c r="I97" s="10"/>
      <c r="J97" s="16"/>
      <c r="K97" s="16"/>
      <c r="L97" s="16"/>
      <c r="M97" s="8"/>
      <c r="N97" s="227"/>
      <c r="S97" s="111"/>
    </row>
    <row r="98" spans="1:19">
      <c r="A98" s="5"/>
      <c r="B98" s="290" t="s">
        <v>32</v>
      </c>
      <c r="C98" s="291">
        <f>C97/(($C$14/100)*1000)</f>
        <v>2.0824179377240466E-2</v>
      </c>
      <c r="D98" s="292" t="s">
        <v>3</v>
      </c>
      <c r="E98" s="10"/>
      <c r="F98" s="10"/>
      <c r="G98" s="10"/>
      <c r="H98" s="10"/>
      <c r="I98" s="347"/>
      <c r="J98" s="16"/>
      <c r="K98" s="16"/>
      <c r="L98" s="16"/>
      <c r="M98" s="8"/>
      <c r="N98" s="227"/>
      <c r="S98" s="111"/>
    </row>
    <row r="99" spans="1:19">
      <c r="A99" s="5"/>
      <c r="G99" s="333"/>
      <c r="J99" s="16"/>
      <c r="S99" s="111"/>
    </row>
    <row r="100" spans="1:19">
      <c r="A100" s="5"/>
      <c r="B100" s="77" t="s">
        <v>37</v>
      </c>
      <c r="C100" s="78"/>
      <c r="D100" s="79"/>
      <c r="G100" s="333"/>
      <c r="S100" s="111"/>
    </row>
    <row r="101" spans="1:19">
      <c r="A101" s="5"/>
      <c r="B101" s="60" t="s">
        <v>90</v>
      </c>
      <c r="C101" s="472">
        <v>347</v>
      </c>
      <c r="D101" s="72" t="s">
        <v>24</v>
      </c>
      <c r="G101" s="333"/>
      <c r="S101" s="111"/>
    </row>
    <row r="102" spans="1:19">
      <c r="A102" s="5"/>
      <c r="B102" s="60" t="s">
        <v>130</v>
      </c>
      <c r="C102" s="472">
        <v>14.4</v>
      </c>
      <c r="D102" s="72" t="s">
        <v>31</v>
      </c>
      <c r="S102" s="111"/>
    </row>
    <row r="103" spans="1:19">
      <c r="A103" s="5"/>
      <c r="B103" s="60" t="s">
        <v>52</v>
      </c>
      <c r="C103" s="71">
        <f>1000*C102/100*0.156^2</f>
        <v>3.5043839999999999</v>
      </c>
      <c r="D103" s="72" t="s">
        <v>4</v>
      </c>
      <c r="S103" s="111"/>
    </row>
    <row r="104" spans="1:19">
      <c r="A104" s="5"/>
      <c r="B104" s="60" t="s">
        <v>30</v>
      </c>
      <c r="C104" s="228">
        <f>C101*10^6/(C102/100*1000)</f>
        <v>2409722.2222222215</v>
      </c>
      <c r="D104" s="72" t="s">
        <v>34</v>
      </c>
      <c r="S104" s="111"/>
    </row>
    <row r="105" spans="1:19">
      <c r="A105" s="5"/>
      <c r="B105" s="60" t="s">
        <v>91</v>
      </c>
      <c r="C105" s="593">
        <f>360*0.85-110</f>
        <v>196</v>
      </c>
      <c r="D105" s="72" t="s">
        <v>95</v>
      </c>
      <c r="F105" s="1"/>
      <c r="S105" s="111"/>
    </row>
    <row r="106" spans="1:19">
      <c r="A106" s="5"/>
      <c r="B106" s="60" t="s">
        <v>92</v>
      </c>
      <c r="C106" s="593">
        <f>150*0.6</f>
        <v>90</v>
      </c>
      <c r="D106" s="72" t="s">
        <v>95</v>
      </c>
      <c r="F106" s="1"/>
      <c r="S106" s="111"/>
    </row>
    <row r="107" spans="1:19">
      <c r="A107" s="5"/>
      <c r="B107" s="60" t="s">
        <v>93</v>
      </c>
      <c r="C107" s="593">
        <f>250*0.6-30</f>
        <v>120</v>
      </c>
      <c r="D107" s="72" t="s">
        <v>95</v>
      </c>
      <c r="S107" s="111"/>
    </row>
    <row r="108" spans="1:19">
      <c r="A108" s="5"/>
      <c r="B108" s="60" t="s">
        <v>94</v>
      </c>
      <c r="C108" s="593">
        <f>250*0.6-30</f>
        <v>120</v>
      </c>
      <c r="D108" s="72" t="s">
        <v>95</v>
      </c>
      <c r="L108" s="1"/>
      <c r="S108" s="111"/>
    </row>
    <row r="109" spans="1:19">
      <c r="A109" s="5"/>
      <c r="B109" s="60" t="s">
        <v>207</v>
      </c>
      <c r="C109" s="71">
        <f>SUM(C105:C108)/C101</f>
        <v>1.515850144092219</v>
      </c>
      <c r="D109" s="388" t="s">
        <v>210</v>
      </c>
      <c r="L109" s="1"/>
      <c r="S109" s="111"/>
    </row>
    <row r="110" spans="1:19">
      <c r="A110" s="5"/>
      <c r="B110" s="60" t="s">
        <v>96</v>
      </c>
      <c r="C110" s="71">
        <f>44*51</f>
        <v>2244</v>
      </c>
      <c r="D110" s="72" t="s">
        <v>97</v>
      </c>
      <c r="S110" s="111"/>
    </row>
    <row r="111" spans="1:19">
      <c r="A111" s="5"/>
      <c r="B111" s="60" t="s">
        <v>102</v>
      </c>
      <c r="C111" s="71">
        <f>(C105+C106)*C110/C104</f>
        <v>0.26633111239193091</v>
      </c>
      <c r="D111" s="72" t="s">
        <v>98</v>
      </c>
      <c r="S111" s="111"/>
    </row>
    <row r="112" spans="1:19">
      <c r="A112" s="5"/>
      <c r="B112" s="60" t="s">
        <v>103</v>
      </c>
      <c r="C112" s="71">
        <f>C107*C110/C104</f>
        <v>0.11174731988472626</v>
      </c>
      <c r="D112" s="72" t="s">
        <v>98</v>
      </c>
      <c r="S112" s="111"/>
    </row>
    <row r="113" spans="1:19">
      <c r="A113" s="5"/>
      <c r="B113" s="60" t="s">
        <v>104</v>
      </c>
      <c r="C113" s="71">
        <f>C108*C110/C104</f>
        <v>0.11174731988472626</v>
      </c>
      <c r="D113" s="72" t="s">
        <v>98</v>
      </c>
      <c r="S113" s="111"/>
    </row>
    <row r="114" spans="1:19">
      <c r="A114" s="5"/>
      <c r="B114" s="60" t="s">
        <v>99</v>
      </c>
      <c r="C114" s="71">
        <f>C111*C18</f>
        <v>6.5284413925072062</v>
      </c>
      <c r="D114" s="72" t="s">
        <v>35</v>
      </c>
      <c r="S114" s="111"/>
    </row>
    <row r="115" spans="1:19">
      <c r="A115" s="5"/>
      <c r="B115" s="60" t="s">
        <v>100</v>
      </c>
      <c r="C115" s="71">
        <f>C112*C18</f>
        <v>2.7392061786743525</v>
      </c>
      <c r="D115" s="72" t="s">
        <v>35</v>
      </c>
      <c r="S115" s="111"/>
    </row>
    <row r="116" spans="1:19">
      <c r="A116" s="5"/>
      <c r="B116" s="60" t="s">
        <v>101</v>
      </c>
      <c r="C116" s="71">
        <f>C113*C18</f>
        <v>2.7392061786743525</v>
      </c>
      <c r="D116" s="72" t="s">
        <v>35</v>
      </c>
      <c r="S116" s="111"/>
    </row>
    <row r="117" spans="1:19">
      <c r="A117" s="5"/>
      <c r="B117" s="60" t="s">
        <v>140</v>
      </c>
      <c r="C117" s="71">
        <f>1000*C14/100</f>
        <v>205</v>
      </c>
      <c r="D117" s="72" t="s">
        <v>105</v>
      </c>
      <c r="S117" s="111"/>
    </row>
    <row r="118" spans="1:19">
      <c r="A118" s="5"/>
      <c r="B118" s="189" t="s">
        <v>106</v>
      </c>
      <c r="C118" s="194">
        <f>C114/C117</f>
        <v>3.1846055573205884E-2</v>
      </c>
      <c r="D118" s="190" t="s">
        <v>3</v>
      </c>
      <c r="S118" s="111"/>
    </row>
    <row r="119" spans="1:19">
      <c r="A119" s="5"/>
      <c r="B119" s="189" t="s">
        <v>107</v>
      </c>
      <c r="C119" s="194">
        <f>C115/C117</f>
        <v>1.3361981359387085E-2</v>
      </c>
      <c r="D119" s="190" t="s">
        <v>3</v>
      </c>
      <c r="S119" s="111"/>
    </row>
    <row r="120" spans="1:19">
      <c r="A120" s="5"/>
      <c r="B120" s="189" t="s">
        <v>108</v>
      </c>
      <c r="C120" s="194">
        <f>C116/C117</f>
        <v>1.3361981359387085E-2</v>
      </c>
      <c r="D120" s="190" t="s">
        <v>3</v>
      </c>
      <c r="S120" s="111"/>
    </row>
    <row r="121" spans="1:19">
      <c r="A121" s="5"/>
      <c r="B121" s="112" t="s">
        <v>53</v>
      </c>
      <c r="C121" s="195">
        <f>SUM(C118:C120)</f>
        <v>5.8570018291980053E-2</v>
      </c>
      <c r="D121" s="113" t="s">
        <v>3</v>
      </c>
      <c r="F121" s="3"/>
      <c r="H121" s="3"/>
      <c r="S121" s="111"/>
    </row>
    <row r="122" spans="1:19">
      <c r="A122" s="5"/>
      <c r="S122" s="111"/>
    </row>
    <row r="123" spans="1:19">
      <c r="A123" s="5"/>
      <c r="B123" s="74" t="s">
        <v>28</v>
      </c>
      <c r="C123" s="75"/>
      <c r="D123" s="76"/>
      <c r="S123" s="111"/>
    </row>
    <row r="124" spans="1:19">
      <c r="A124" s="5"/>
      <c r="B124" s="46" t="s">
        <v>130</v>
      </c>
      <c r="C124" s="784">
        <v>14.4</v>
      </c>
      <c r="D124" s="73" t="s">
        <v>1</v>
      </c>
      <c r="S124" s="111"/>
    </row>
    <row r="125" spans="1:19">
      <c r="A125" s="5"/>
      <c r="B125" s="46" t="s">
        <v>212</v>
      </c>
      <c r="C125" s="784">
        <f>25.9*1</f>
        <v>25.9</v>
      </c>
      <c r="D125" s="73" t="s">
        <v>86</v>
      </c>
      <c r="S125" s="111"/>
    </row>
    <row r="126" spans="1:19">
      <c r="A126" s="5"/>
      <c r="B126" s="46" t="s">
        <v>212</v>
      </c>
      <c r="C126" s="570">
        <f>C125*C66*C54*(1/C57)</f>
        <v>1.454899159891599E-2</v>
      </c>
      <c r="D126" s="73" t="s">
        <v>25</v>
      </c>
      <c r="S126" s="111"/>
    </row>
    <row r="127" spans="1:19">
      <c r="A127" s="5"/>
      <c r="B127" s="46" t="s">
        <v>213</v>
      </c>
      <c r="C127" s="570">
        <f>0.2*0.2</f>
        <v>4.0000000000000008E-2</v>
      </c>
      <c r="D127" s="73" t="s">
        <v>25</v>
      </c>
      <c r="E127" s="1"/>
      <c r="S127" s="111"/>
    </row>
    <row r="128" spans="1:19">
      <c r="A128" s="5"/>
      <c r="B128" s="46" t="s">
        <v>214</v>
      </c>
      <c r="C128" s="570">
        <v>0.34</v>
      </c>
      <c r="D128" s="73" t="s">
        <v>25</v>
      </c>
      <c r="E128" s="1"/>
      <c r="S128" s="111"/>
    </row>
    <row r="129" spans="1:19">
      <c r="A129" s="5"/>
      <c r="B129" s="46" t="s">
        <v>215</v>
      </c>
      <c r="C129" s="570">
        <v>0.05</v>
      </c>
      <c r="D129" s="73" t="s">
        <v>25</v>
      </c>
      <c r="E129" s="1"/>
      <c r="S129" s="111"/>
    </row>
    <row r="130" spans="1:19">
      <c r="A130" s="5"/>
      <c r="B130" s="191" t="s">
        <v>87</v>
      </c>
      <c r="C130" s="192">
        <f>C19*(C126+C127)*(C124/C14)</f>
        <v>3.4485606396192753E-3</v>
      </c>
      <c r="D130" s="193" t="s">
        <v>0</v>
      </c>
      <c r="S130" s="111"/>
    </row>
    <row r="131" spans="1:19">
      <c r="A131" s="5"/>
      <c r="B131" s="191" t="s">
        <v>89</v>
      </c>
      <c r="C131" s="192">
        <f>C19*C128*(C124/C14)</f>
        <v>2.1494634146341469E-2</v>
      </c>
      <c r="D131" s="193" t="s">
        <v>0</v>
      </c>
      <c r="S131" s="111"/>
    </row>
    <row r="132" spans="1:19">
      <c r="A132" s="5"/>
      <c r="B132" s="191" t="s">
        <v>141</v>
      </c>
      <c r="C132" s="192">
        <f>C19*C129*(C124/C14)</f>
        <v>3.1609756097560975E-3</v>
      </c>
      <c r="D132" s="193" t="s">
        <v>0</v>
      </c>
      <c r="S132" s="111"/>
    </row>
    <row r="133" spans="1:19">
      <c r="A133" s="5"/>
      <c r="B133" s="114" t="s">
        <v>88</v>
      </c>
      <c r="C133" s="185">
        <f>SUM(C130:C132)</f>
        <v>2.8104170395716839E-2</v>
      </c>
      <c r="D133" s="115" t="s">
        <v>0</v>
      </c>
      <c r="S133" s="111"/>
    </row>
    <row r="134" spans="1:19">
      <c r="A134" s="5"/>
      <c r="F134" s="3"/>
      <c r="S134" s="111"/>
    </row>
    <row r="135" spans="1:19">
      <c r="A135" s="5"/>
      <c r="B135" s="88" t="s">
        <v>38</v>
      </c>
      <c r="C135" s="89"/>
      <c r="D135" s="90"/>
      <c r="S135" s="111"/>
    </row>
    <row r="136" spans="1:19">
      <c r="A136" s="5"/>
      <c r="B136" s="64" t="s">
        <v>113</v>
      </c>
      <c r="C136" s="500">
        <v>0.97</v>
      </c>
      <c r="D136" s="86" t="s">
        <v>31</v>
      </c>
      <c r="S136" s="111"/>
    </row>
    <row r="137" spans="1:19">
      <c r="A137" s="5"/>
      <c r="B137" s="64" t="s">
        <v>114</v>
      </c>
      <c r="C137" s="500">
        <v>0.96499999999999997</v>
      </c>
      <c r="D137" s="86" t="s">
        <v>31</v>
      </c>
      <c r="S137" s="111"/>
    </row>
    <row r="138" spans="1:19">
      <c r="A138" s="5"/>
      <c r="B138" s="64" t="s">
        <v>115</v>
      </c>
      <c r="C138" s="500">
        <v>0.98</v>
      </c>
      <c r="D138" s="86" t="s">
        <v>31</v>
      </c>
      <c r="S138" s="111"/>
    </row>
    <row r="139" spans="1:19">
      <c r="A139" s="5"/>
      <c r="B139" s="64" t="s">
        <v>123</v>
      </c>
      <c r="C139" s="500">
        <v>1</v>
      </c>
      <c r="D139" s="86" t="s">
        <v>31</v>
      </c>
      <c r="S139" s="111"/>
    </row>
    <row r="140" spans="1:19">
      <c r="A140" s="5"/>
      <c r="B140" s="64" t="s">
        <v>116</v>
      </c>
      <c r="C140" s="87">
        <f>(J31+J32+J35+J34+J28+J29+J30)</f>
        <v>0.14036289455931916</v>
      </c>
      <c r="D140" s="86" t="s">
        <v>3</v>
      </c>
      <c r="S140" s="111"/>
    </row>
    <row r="141" spans="1:19">
      <c r="A141" s="5"/>
      <c r="B141" s="64" t="s">
        <v>117</v>
      </c>
      <c r="C141" s="87">
        <f>C140+(K31+K32+K33+K40+K45+K29+K30)</f>
        <v>0.30949066447094675</v>
      </c>
      <c r="D141" s="86" t="s">
        <v>3</v>
      </c>
      <c r="S141" s="111"/>
    </row>
    <row r="142" spans="1:19">
      <c r="A142" s="5"/>
      <c r="B142" s="64" t="s">
        <v>118</v>
      </c>
      <c r="C142" s="87">
        <f>C141+(L31+L32+L36+L37+L38+L39+L41+L43+L44+L29+L30)</f>
        <v>0.49695354602616409</v>
      </c>
      <c r="D142" s="86" t="s">
        <v>3</v>
      </c>
      <c r="S142" s="111"/>
    </row>
    <row r="143" spans="1:19">
      <c r="A143" s="5"/>
      <c r="B143" s="64" t="s">
        <v>124</v>
      </c>
      <c r="C143" s="87">
        <f>SUM(H28,H30:H41,H43:H45)+(H46+H47)+H29</f>
        <v>0.49695354602616404</v>
      </c>
      <c r="D143" s="86" t="s">
        <v>3</v>
      </c>
    </row>
    <row r="144" spans="1:19">
      <c r="A144" s="5"/>
      <c r="B144" s="225" t="s">
        <v>119</v>
      </c>
      <c r="C144" s="219">
        <f>C140/C136-C140</f>
        <v>4.3411204502882272E-3</v>
      </c>
      <c r="D144" s="226" t="s">
        <v>3</v>
      </c>
    </row>
    <row r="145" spans="1:4">
      <c r="A145" s="5"/>
      <c r="B145" s="225" t="s">
        <v>120</v>
      </c>
      <c r="C145" s="219">
        <f>C141/C137-C141</f>
        <v>1.1225050006718307E-2</v>
      </c>
      <c r="D145" s="226" t="s">
        <v>3</v>
      </c>
    </row>
    <row r="146" spans="1:4">
      <c r="A146" s="5"/>
      <c r="B146" s="225" t="s">
        <v>121</v>
      </c>
      <c r="C146" s="219">
        <f>C142/C138-C142</f>
        <v>1.0141909102574787E-2</v>
      </c>
      <c r="D146" s="226" t="s">
        <v>3</v>
      </c>
    </row>
    <row r="147" spans="1:4">
      <c r="A147" s="5"/>
      <c r="B147" s="225" t="s">
        <v>125</v>
      </c>
      <c r="C147" s="219">
        <f>C143/C139-C143</f>
        <v>0</v>
      </c>
      <c r="D147" s="226" t="s">
        <v>3</v>
      </c>
    </row>
    <row r="148" spans="1:4">
      <c r="A148" s="5"/>
      <c r="B148" s="119" t="s">
        <v>122</v>
      </c>
      <c r="C148" s="120">
        <f>SUM(C144:C147)</f>
        <v>2.5708079559581321E-2</v>
      </c>
      <c r="D148" s="121" t="s">
        <v>3</v>
      </c>
    </row>
    <row r="149" spans="1:4">
      <c r="A149" s="5"/>
    </row>
    <row r="150" spans="1:4">
      <c r="A150" s="5"/>
      <c r="B150" s="371" t="s">
        <v>29</v>
      </c>
      <c r="C150" s="372"/>
      <c r="D150" s="373"/>
    </row>
    <row r="151" spans="1:4">
      <c r="A151" s="5"/>
      <c r="B151" s="374" t="s">
        <v>195</v>
      </c>
      <c r="C151" s="372">
        <f>0.15</f>
        <v>0.15</v>
      </c>
      <c r="D151" s="373" t="s">
        <v>35</v>
      </c>
    </row>
    <row r="152" spans="1:4">
      <c r="A152" s="5"/>
      <c r="B152" s="392" t="s">
        <v>29</v>
      </c>
      <c r="C152" s="391">
        <f>3*C151*C56</f>
        <v>0.88593977528089884</v>
      </c>
      <c r="D152" s="393" t="s">
        <v>208</v>
      </c>
    </row>
    <row r="153" spans="1:4">
      <c r="A153" s="5"/>
      <c r="B153" s="116" t="s">
        <v>209</v>
      </c>
      <c r="C153" s="117">
        <f>C152/C57</f>
        <v>2.1951219512195124E-3</v>
      </c>
      <c r="D153" s="118" t="s">
        <v>3</v>
      </c>
    </row>
    <row r="154" spans="1:4">
      <c r="A154" s="5"/>
      <c r="B154" s="7"/>
      <c r="C154" s="318"/>
      <c r="D154" s="7"/>
    </row>
    <row r="155" spans="1:4">
      <c r="A155" s="5"/>
      <c r="B155" s="334" t="s">
        <v>42</v>
      </c>
      <c r="C155" s="335"/>
      <c r="D155" s="336"/>
    </row>
    <row r="156" spans="1:4">
      <c r="A156" s="5"/>
      <c r="B156" s="798" t="s">
        <v>228</v>
      </c>
      <c r="C156" s="799">
        <f>C159</f>
        <v>300</v>
      </c>
      <c r="D156" s="800" t="s">
        <v>17</v>
      </c>
    </row>
    <row r="157" spans="1:4">
      <c r="A157" s="5"/>
      <c r="B157" s="736" t="s">
        <v>229</v>
      </c>
      <c r="C157" s="797">
        <v>0</v>
      </c>
      <c r="D157" s="732" t="s">
        <v>188</v>
      </c>
    </row>
    <row r="158" spans="1:4" s="401" customFormat="1">
      <c r="A158" s="406"/>
      <c r="B158" s="801" t="s">
        <v>228</v>
      </c>
      <c r="C158" s="802">
        <f>C156*C157/1000</f>
        <v>0</v>
      </c>
      <c r="D158" s="803" t="s">
        <v>21</v>
      </c>
    </row>
    <row r="159" spans="1:4" s="401" customFormat="1">
      <c r="A159" s="406"/>
      <c r="B159" s="736" t="s">
        <v>230</v>
      </c>
      <c r="C159" s="797">
        <v>300</v>
      </c>
      <c r="D159" s="732" t="s">
        <v>17</v>
      </c>
    </row>
    <row r="160" spans="1:4" s="401" customFormat="1">
      <c r="A160" s="406"/>
      <c r="B160" s="736" t="s">
        <v>231</v>
      </c>
      <c r="C160" s="797">
        <v>1</v>
      </c>
      <c r="D160" s="732" t="s">
        <v>188</v>
      </c>
    </row>
    <row r="161" spans="1:19" s="401" customFormat="1">
      <c r="A161" s="406"/>
      <c r="B161" s="801" t="s">
        <v>230</v>
      </c>
      <c r="C161" s="802">
        <f>C159*C160/1000</f>
        <v>0.3</v>
      </c>
      <c r="D161" s="803" t="s">
        <v>21</v>
      </c>
    </row>
    <row r="162" spans="1:19">
      <c r="A162" s="5"/>
      <c r="B162" s="389" t="s">
        <v>189</v>
      </c>
      <c r="C162" s="787">
        <f>C158+C161</f>
        <v>0.3</v>
      </c>
      <c r="D162" s="390" t="s">
        <v>21</v>
      </c>
    </row>
    <row r="163" spans="1:19">
      <c r="A163" s="5"/>
    </row>
    <row r="164" spans="1:19">
      <c r="A164" s="5"/>
      <c r="B164" s="512" t="s">
        <v>66</v>
      </c>
      <c r="C164" s="100"/>
      <c r="D164" s="100"/>
      <c r="E164" s="100"/>
      <c r="F164" s="100"/>
      <c r="G164" s="898"/>
      <c r="H164" s="861"/>
      <c r="I164" s="861"/>
      <c r="J164" s="861"/>
    </row>
    <row r="165" spans="1:19">
      <c r="A165" s="5"/>
      <c r="B165" s="94" t="s">
        <v>219</v>
      </c>
      <c r="C165" s="96">
        <v>60</v>
      </c>
      <c r="D165" s="96" t="s">
        <v>31</v>
      </c>
      <c r="E165" s="96"/>
      <c r="F165" s="96"/>
      <c r="G165" s="898"/>
      <c r="H165" s="861"/>
      <c r="I165" s="861"/>
      <c r="J165" s="861"/>
      <c r="S165" s="111"/>
    </row>
    <row r="166" spans="1:19">
      <c r="A166" s="5"/>
      <c r="B166" s="94" t="s">
        <v>220</v>
      </c>
      <c r="C166" s="96">
        <v>1.6</v>
      </c>
      <c r="D166" s="96" t="s">
        <v>127</v>
      </c>
      <c r="E166" s="96"/>
      <c r="F166" s="96"/>
      <c r="G166" s="898"/>
      <c r="H166" s="861"/>
      <c r="I166" s="861"/>
      <c r="J166" s="861"/>
      <c r="S166" s="111"/>
    </row>
    <row r="167" spans="1:19">
      <c r="A167" s="5"/>
      <c r="B167" s="94"/>
      <c r="C167" s="906" t="s">
        <v>260</v>
      </c>
      <c r="D167" s="904" t="s">
        <v>261</v>
      </c>
      <c r="E167" s="904" t="s">
        <v>8</v>
      </c>
      <c r="F167" s="96"/>
      <c r="G167" s="898"/>
      <c r="H167" s="861"/>
      <c r="I167" s="861"/>
      <c r="J167" s="861"/>
      <c r="S167" s="111"/>
    </row>
    <row r="168" spans="1:19">
      <c r="A168" s="5"/>
      <c r="B168" s="94" t="s">
        <v>216</v>
      </c>
      <c r="C168" s="901">
        <v>15</v>
      </c>
      <c r="D168" s="899">
        <f>(($C$56-$C$166)*2+(1.6*2+1*2))/(1.6*2+1*2)*C168</f>
        <v>17.127433016421783</v>
      </c>
      <c r="E168" s="899">
        <f>D168/$C$57</f>
        <v>4.2437200847505373E-2</v>
      </c>
      <c r="F168" s="901"/>
      <c r="G168" s="898"/>
      <c r="H168" s="861"/>
      <c r="I168" s="861"/>
      <c r="J168" s="861"/>
      <c r="S168" s="111"/>
    </row>
    <row r="169" spans="1:19">
      <c r="A169" s="5"/>
      <c r="B169" s="94" t="s">
        <v>217</v>
      </c>
      <c r="C169" s="901">
        <v>11.5</v>
      </c>
      <c r="D169" s="899">
        <f>C169*$C$56/$C$166</f>
        <v>14.150426966292136</v>
      </c>
      <c r="E169" s="899">
        <f t="shared" ref="E169:E173" si="4">D169/$C$57</f>
        <v>3.5060975609756101E-2</v>
      </c>
      <c r="F169" s="901"/>
      <c r="G169" s="898"/>
      <c r="H169" s="861"/>
      <c r="I169" s="861"/>
      <c r="J169" s="861"/>
      <c r="S169" s="111"/>
    </row>
    <row r="170" spans="1:19">
      <c r="A170" s="5"/>
      <c r="B170" s="94" t="s">
        <v>218</v>
      </c>
      <c r="C170" s="901">
        <v>9</v>
      </c>
      <c r="D170" s="899">
        <f>C170*$C$56/$C$166</f>
        <v>11.074247191011235</v>
      </c>
      <c r="E170" s="899">
        <f t="shared" si="4"/>
        <v>2.7439024390243903E-2</v>
      </c>
      <c r="F170" s="901"/>
      <c r="G170" s="898"/>
      <c r="H170" s="861"/>
      <c r="I170" s="861"/>
      <c r="J170" s="861"/>
      <c r="S170" s="111"/>
    </row>
    <row r="171" spans="1:19">
      <c r="A171" s="5"/>
      <c r="B171" s="94" t="s">
        <v>191</v>
      </c>
      <c r="C171" s="901">
        <v>17</v>
      </c>
      <c r="D171" s="899">
        <f>C171*$C$56/$C$166</f>
        <v>20.91802247191011</v>
      </c>
      <c r="E171" s="899">
        <f t="shared" si="4"/>
        <v>5.1829268292682924E-2</v>
      </c>
      <c r="F171" s="901"/>
      <c r="G171" s="898"/>
      <c r="H171" s="861"/>
      <c r="I171" s="861"/>
      <c r="J171" s="861"/>
      <c r="S171" s="111"/>
    </row>
    <row r="172" spans="1:19">
      <c r="A172" s="5"/>
      <c r="B172" s="94" t="s">
        <v>13</v>
      </c>
      <c r="C172" s="901">
        <v>10</v>
      </c>
      <c r="D172" s="899"/>
      <c r="E172" s="899">
        <v>0.04</v>
      </c>
      <c r="F172" s="901"/>
      <c r="G172" s="898"/>
      <c r="H172" s="861"/>
      <c r="I172" s="861"/>
      <c r="J172" s="861"/>
    </row>
    <row r="173" spans="1:19">
      <c r="A173" s="5"/>
      <c r="B173" s="94" t="s">
        <v>14</v>
      </c>
      <c r="C173" s="901">
        <v>7.5</v>
      </c>
      <c r="D173" s="899">
        <f>C173*$C$56/$C$166</f>
        <v>9.2285393258426964</v>
      </c>
      <c r="E173" s="899">
        <f t="shared" si="4"/>
        <v>2.2865853658536588E-2</v>
      </c>
      <c r="F173" s="901"/>
      <c r="G173" s="898"/>
      <c r="H173" s="861"/>
      <c r="I173" s="861"/>
      <c r="J173" s="861"/>
    </row>
    <row r="174" spans="1:19" s="897" customFormat="1">
      <c r="A174" s="898"/>
      <c r="B174" s="900"/>
      <c r="C174" s="901"/>
      <c r="D174" s="899"/>
      <c r="E174" s="899"/>
      <c r="F174" s="901"/>
      <c r="G174" s="898"/>
      <c r="H174" s="861"/>
      <c r="I174" s="861"/>
      <c r="J174" s="861"/>
    </row>
    <row r="175" spans="1:19">
      <c r="A175" s="5"/>
      <c r="B175" s="94" t="s">
        <v>221</v>
      </c>
      <c r="C175" s="96">
        <v>4</v>
      </c>
      <c r="D175" s="92" t="s">
        <v>225</v>
      </c>
      <c r="E175" s="92"/>
      <c r="F175" s="901"/>
      <c r="G175" s="905"/>
      <c r="H175" s="861"/>
      <c r="I175" s="861"/>
      <c r="J175" s="861"/>
    </row>
    <row r="176" spans="1:19">
      <c r="A176" s="5"/>
      <c r="B176" s="94" t="s">
        <v>222</v>
      </c>
      <c r="C176" s="96">
        <v>8000</v>
      </c>
      <c r="D176" s="92" t="s">
        <v>223</v>
      </c>
      <c r="E176" s="92"/>
      <c r="F176" s="96"/>
      <c r="G176" s="898"/>
      <c r="H176" s="861"/>
      <c r="I176" s="861"/>
      <c r="J176" s="861"/>
    </row>
    <row r="177" spans="1:10">
      <c r="A177" s="5"/>
      <c r="B177" s="94" t="s">
        <v>224</v>
      </c>
      <c r="C177" s="96">
        <v>100</v>
      </c>
      <c r="D177" s="92" t="s">
        <v>2</v>
      </c>
      <c r="E177" s="92"/>
      <c r="F177" s="96"/>
      <c r="G177" s="898"/>
      <c r="H177" s="861"/>
      <c r="I177" s="861"/>
      <c r="J177" s="861"/>
    </row>
    <row r="178" spans="1:10">
      <c r="A178" s="5"/>
      <c r="B178" s="97" t="s">
        <v>224</v>
      </c>
      <c r="C178" s="98">
        <f>C177*C175/C176</f>
        <v>0.05</v>
      </c>
      <c r="D178" s="394" t="s">
        <v>21</v>
      </c>
      <c r="E178" s="394"/>
      <c r="F178" s="98"/>
      <c r="G178" s="898"/>
      <c r="H178" s="861"/>
      <c r="I178" s="861"/>
      <c r="J178" s="861"/>
    </row>
    <row r="179" spans="1:10">
      <c r="A179" s="5"/>
      <c r="G179" s="861"/>
      <c r="H179" s="861"/>
      <c r="I179" s="861"/>
      <c r="J179" s="861"/>
    </row>
    <row r="180" spans="1:10">
      <c r="A180" s="5"/>
      <c r="B180" s="152" t="s">
        <v>70</v>
      </c>
      <c r="C180" s="153"/>
      <c r="D180" s="154"/>
    </row>
    <row r="181" spans="1:10">
      <c r="A181" s="5"/>
      <c r="B181" s="146" t="s">
        <v>74</v>
      </c>
      <c r="C181" s="155">
        <v>141120</v>
      </c>
      <c r="D181" s="156" t="s">
        <v>211</v>
      </c>
    </row>
    <row r="182" spans="1:10">
      <c r="A182" s="5"/>
      <c r="B182" s="146" t="s">
        <v>71</v>
      </c>
      <c r="C182" s="151">
        <f>C20</f>
        <v>0</v>
      </c>
      <c r="D182" s="156" t="s">
        <v>72</v>
      </c>
    </row>
    <row r="183" spans="1:10">
      <c r="A183" s="5"/>
      <c r="B183" s="157" t="s">
        <v>5</v>
      </c>
      <c r="C183" s="175">
        <f>C182/C181</f>
        <v>0</v>
      </c>
      <c r="D183" s="158" t="s">
        <v>0</v>
      </c>
    </row>
    <row r="184" spans="1:10">
      <c r="A184" s="5"/>
    </row>
    <row r="185" spans="1:10">
      <c r="A185" s="5"/>
      <c r="B185" s="176" t="s">
        <v>76</v>
      </c>
      <c r="C185" s="177"/>
      <c r="D185" s="178"/>
    </row>
    <row r="186" spans="1:10">
      <c r="A186" s="5"/>
      <c r="B186" s="179" t="s">
        <v>84</v>
      </c>
      <c r="C186" s="160">
        <f>IF(C20&lt;&gt;0,1,0)</f>
        <v>0</v>
      </c>
      <c r="D186" s="180" t="s">
        <v>31</v>
      </c>
    </row>
    <row r="187" spans="1:10">
      <c r="A187" s="5"/>
      <c r="B187" s="181" t="s">
        <v>85</v>
      </c>
      <c r="C187" s="182">
        <f>C186*2.5/100*SUM(H28:H41,H43:H45,J42:L42)</f>
        <v>0</v>
      </c>
      <c r="D187" s="183" t="s">
        <v>0</v>
      </c>
    </row>
    <row r="188" spans="1:10">
      <c r="A188" s="5"/>
    </row>
    <row r="189" spans="1:10">
      <c r="A189" s="5"/>
    </row>
    <row r="190" spans="1:10">
      <c r="A190" s="5"/>
    </row>
    <row r="191" spans="1:10">
      <c r="A191" s="5"/>
    </row>
  </sheetData>
  <mergeCells count="2">
    <mergeCell ref="J26:M26"/>
    <mergeCell ref="N26:Q26"/>
  </mergeCells>
  <pageMargins left="0.7" right="0.7" top="0.75" bottom="0.75" header="0.3" footer="0.3"/>
  <pageSetup orientation="portrait" r:id="rId1"/>
  <drawing r:id="rId2"/>
  <legacyDrawing r:id="rId3"/>
</worksheet>
</file>

<file path=xl/worksheets/sheet6.xml><?xml version="1.0" encoding="utf-8"?>
<worksheet xmlns="http://schemas.openxmlformats.org/spreadsheetml/2006/main" xmlns:r="http://schemas.openxmlformats.org/officeDocument/2006/relationships">
  <dimension ref="A1:T192"/>
  <sheetViews>
    <sheetView zoomScale="60" zoomScaleNormal="60" workbookViewId="0"/>
  </sheetViews>
  <sheetFormatPr defaultRowHeight="14.4"/>
  <cols>
    <col min="1" max="1" width="8.88671875" style="405"/>
    <col min="2" max="2" width="30.6640625" style="401" customWidth="1"/>
    <col min="3" max="6" width="19" style="401" customWidth="1"/>
    <col min="7" max="7" width="24.77734375" style="401" customWidth="1"/>
    <col min="8" max="19" width="19" style="401" customWidth="1"/>
    <col min="20" max="16384" width="8.88671875" style="401"/>
  </cols>
  <sheetData>
    <row r="1" spans="1:20" ht="31.2">
      <c r="A1" s="889" t="s">
        <v>182</v>
      </c>
    </row>
    <row r="2" spans="1:20">
      <c r="A2" s="890" t="s">
        <v>262</v>
      </c>
    </row>
    <row r="3" spans="1:20">
      <c r="A3" s="859" t="s">
        <v>56</v>
      </c>
    </row>
    <row r="4" spans="1:20" s="831" customFormat="1" ht="13.8" customHeight="1">
      <c r="A4" s="897" t="s">
        <v>259</v>
      </c>
    </row>
    <row r="5" spans="1:20">
      <c r="A5" s="859"/>
    </row>
    <row r="6" spans="1:20">
      <c r="A6" s="859"/>
    </row>
    <row r="7" spans="1:20">
      <c r="A7" s="859"/>
      <c r="H7" s="404"/>
    </row>
    <row r="8" spans="1:20">
      <c r="A8" s="401"/>
      <c r="H8" s="404"/>
    </row>
    <row r="9" spans="1:20">
      <c r="A9" s="401"/>
      <c r="H9" s="404"/>
    </row>
    <row r="10" spans="1:20">
      <c r="H10" s="404"/>
    </row>
    <row r="11" spans="1:20">
      <c r="H11" s="404"/>
    </row>
    <row r="12" spans="1:20" ht="34.200000000000003" thickBot="1">
      <c r="B12" s="550" t="s">
        <v>41</v>
      </c>
      <c r="H12" s="404"/>
    </row>
    <row r="13" spans="1:20" ht="15" thickBot="1">
      <c r="B13" s="421" t="s">
        <v>58</v>
      </c>
      <c r="C13" s="430" t="s">
        <v>51</v>
      </c>
      <c r="D13" s="431" t="s">
        <v>60</v>
      </c>
      <c r="H13" s="404"/>
      <c r="T13" s="526"/>
    </row>
    <row r="14" spans="1:20">
      <c r="B14" s="415" t="s">
        <v>46</v>
      </c>
      <c r="C14" s="426">
        <v>20.5</v>
      </c>
      <c r="D14" s="432" t="s">
        <v>1</v>
      </c>
      <c r="E14" s="402"/>
      <c r="H14" s="404"/>
      <c r="T14" s="526"/>
    </row>
    <row r="15" spans="1:20">
      <c r="B15" s="417" t="s">
        <v>16</v>
      </c>
      <c r="C15" s="405">
        <v>120</v>
      </c>
      <c r="D15" s="433" t="s">
        <v>241</v>
      </c>
      <c r="H15" s="404"/>
      <c r="L15" s="407"/>
      <c r="N15" s="402"/>
      <c r="T15" s="526"/>
    </row>
    <row r="16" spans="1:20">
      <c r="B16" s="417" t="s">
        <v>50</v>
      </c>
      <c r="C16" s="405">
        <v>0.55000000000000004</v>
      </c>
      <c r="D16" s="433" t="s">
        <v>31</v>
      </c>
      <c r="H16" s="404"/>
      <c r="L16" s="407"/>
      <c r="T16" s="526"/>
    </row>
    <row r="17" spans="1:20">
      <c r="B17" s="417" t="s">
        <v>226</v>
      </c>
      <c r="C17" s="405">
        <v>25</v>
      </c>
      <c r="D17" s="433" t="s">
        <v>17</v>
      </c>
      <c r="E17" s="402"/>
      <c r="H17" s="404"/>
      <c r="T17" s="526"/>
    </row>
    <row r="18" spans="1:20">
      <c r="B18" s="417" t="s">
        <v>22</v>
      </c>
      <c r="C18" s="523">
        <f>18.5*1.325</f>
        <v>24.512499999999999</v>
      </c>
      <c r="D18" s="433" t="s">
        <v>23</v>
      </c>
      <c r="H18" s="404"/>
      <c r="T18" s="526"/>
    </row>
    <row r="19" spans="1:20" s="542" customFormat="1">
      <c r="A19" s="714"/>
      <c r="B19" s="715" t="s">
        <v>26</v>
      </c>
      <c r="C19" s="716">
        <v>0.09</v>
      </c>
      <c r="D19" s="717" t="s">
        <v>27</v>
      </c>
      <c r="E19" s="718"/>
      <c r="H19" s="404"/>
      <c r="T19" s="549"/>
    </row>
    <row r="20" spans="1:20" ht="15" thickBot="1">
      <c r="B20" s="419" t="s">
        <v>71</v>
      </c>
      <c r="C20" s="772">
        <v>0</v>
      </c>
      <c r="D20" s="539" t="s">
        <v>72</v>
      </c>
      <c r="E20" s="402"/>
      <c r="H20" s="404"/>
      <c r="T20" s="526"/>
    </row>
    <row r="21" spans="1:20">
      <c r="H21" s="404"/>
      <c r="N21" s="404"/>
      <c r="T21" s="526"/>
    </row>
    <row r="22" spans="1:20">
      <c r="H22" s="404"/>
      <c r="N22" s="404"/>
      <c r="T22" s="526"/>
    </row>
    <row r="23" spans="1:20" ht="34.200000000000003" thickBot="1">
      <c r="B23" s="550" t="s">
        <v>59</v>
      </c>
      <c r="T23" s="526"/>
    </row>
    <row r="24" spans="1:20" ht="15" thickBot="1">
      <c r="B24" s="395" t="s">
        <v>80</v>
      </c>
      <c r="C24" s="396">
        <f>C66*1000*C54/C57*(1/(C136*C137*C138))</f>
        <v>2.4555410364049237</v>
      </c>
      <c r="D24" s="397" t="s">
        <v>79</v>
      </c>
      <c r="T24" s="526"/>
    </row>
    <row r="25" spans="1:20" ht="15" thickBot="1">
      <c r="T25" s="526"/>
    </row>
    <row r="26" spans="1:20" ht="29.4" thickBot="1">
      <c r="B26" s="423" t="s">
        <v>55</v>
      </c>
      <c r="J26" s="909" t="s">
        <v>109</v>
      </c>
      <c r="K26" s="910"/>
      <c r="L26" s="910"/>
      <c r="M26" s="911"/>
      <c r="N26" s="909" t="s">
        <v>111</v>
      </c>
      <c r="O26" s="910"/>
      <c r="P26" s="910"/>
      <c r="Q26" s="911"/>
      <c r="T26" s="526"/>
    </row>
    <row r="27" spans="1:20" ht="15" thickBot="1">
      <c r="A27" s="406"/>
      <c r="B27" s="428" t="s">
        <v>58</v>
      </c>
      <c r="C27" s="424" t="s">
        <v>9</v>
      </c>
      <c r="D27" s="427" t="s">
        <v>39</v>
      </c>
      <c r="E27" s="425" t="s">
        <v>40</v>
      </c>
      <c r="F27" s="425" t="s">
        <v>68</v>
      </c>
      <c r="G27" s="425" t="s">
        <v>65</v>
      </c>
      <c r="H27" s="545" t="s">
        <v>8</v>
      </c>
      <c r="I27" s="424" t="s">
        <v>69</v>
      </c>
      <c r="J27" s="605" t="s">
        <v>43</v>
      </c>
      <c r="K27" s="606" t="s">
        <v>83</v>
      </c>
      <c r="L27" s="606" t="s">
        <v>45</v>
      </c>
      <c r="M27" s="607" t="s">
        <v>75</v>
      </c>
      <c r="N27" s="761" t="s">
        <v>43</v>
      </c>
      <c r="O27" s="606" t="s">
        <v>83</v>
      </c>
      <c r="P27" s="606" t="s">
        <v>45</v>
      </c>
      <c r="Q27" s="607" t="s">
        <v>75</v>
      </c>
      <c r="T27" s="526"/>
    </row>
    <row r="28" spans="1:20">
      <c r="A28" s="406"/>
      <c r="B28" s="436" t="s">
        <v>36</v>
      </c>
      <c r="C28" s="773">
        <f>C67</f>
        <v>0.3091556945454545</v>
      </c>
      <c r="D28" s="437"/>
      <c r="E28" s="438"/>
      <c r="F28" s="703">
        <v>1</v>
      </c>
      <c r="G28" s="515">
        <v>1</v>
      </c>
      <c r="H28" s="678">
        <f>C28*$C$54/$C$57*F28*G28</f>
        <v>5.515237250554323E-2</v>
      </c>
      <c r="I28" s="675">
        <f>H28/$H$48*G28*F28</f>
        <v>7.4179470390506833E-2</v>
      </c>
      <c r="J28" s="610">
        <f>H28</f>
        <v>5.515237250554323E-2</v>
      </c>
      <c r="K28" s="439"/>
      <c r="L28" s="439"/>
      <c r="M28" s="660"/>
      <c r="N28" s="762"/>
      <c r="O28" s="622"/>
      <c r="P28" s="622"/>
      <c r="Q28" s="623"/>
      <c r="T28" s="526"/>
    </row>
    <row r="29" spans="1:20">
      <c r="A29" s="406"/>
      <c r="B29" s="459" t="s">
        <v>192</v>
      </c>
      <c r="C29" s="460"/>
      <c r="D29" s="638" t="s">
        <v>110</v>
      </c>
      <c r="E29" s="616" t="s">
        <v>110</v>
      </c>
      <c r="F29" s="704">
        <v>1</v>
      </c>
      <c r="G29" s="516">
        <v>1</v>
      </c>
      <c r="H29" s="679">
        <f>SUM(J29:L29)</f>
        <v>0.14707789710615243</v>
      </c>
      <c r="I29" s="567">
        <f t="shared" ref="I29:I47" si="0">H29/$H$48</f>
        <v>0.19781851655406649</v>
      </c>
      <c r="J29" s="661">
        <f>H77*F29*G29+N29</f>
        <v>7.3132847885548052E-2</v>
      </c>
      <c r="K29" s="461">
        <f>H78*F29*G29+O29</f>
        <v>5.0870325826840632E-2</v>
      </c>
      <c r="L29" s="461">
        <f>H79*F29*G29+P29</f>
        <v>2.307472339376376E-2</v>
      </c>
      <c r="M29" s="662"/>
      <c r="N29" s="763"/>
      <c r="O29" s="639"/>
      <c r="P29" s="639"/>
      <c r="Q29" s="640"/>
      <c r="T29" s="526"/>
    </row>
    <row r="30" spans="1:20">
      <c r="A30" s="406"/>
      <c r="B30" s="641" t="s">
        <v>126</v>
      </c>
      <c r="C30" s="642"/>
      <c r="D30" s="638" t="s">
        <v>110</v>
      </c>
      <c r="E30" s="616" t="s">
        <v>110</v>
      </c>
      <c r="F30" s="705">
        <v>1</v>
      </c>
      <c r="G30" s="645">
        <f>C62</f>
        <v>0.90249999999999997</v>
      </c>
      <c r="H30" s="680">
        <f>SUM(J30:L30)</f>
        <v>3.9322061211717163E-2</v>
      </c>
      <c r="I30" s="676">
        <f t="shared" si="0"/>
        <v>5.2887836784448417E-2</v>
      </c>
      <c r="J30" s="663">
        <f>E85*F30*G30+N30</f>
        <v>1.9536256160125116E-2</v>
      </c>
      <c r="K30" s="643">
        <f>E86*F30*G30+O30</f>
        <v>1.3183866054403602E-2</v>
      </c>
      <c r="L30" s="643">
        <f>E87*F30*G30+P30</f>
        <v>6.6019389971884437E-3</v>
      </c>
      <c r="M30" s="664"/>
      <c r="N30" s="642"/>
      <c r="O30" s="644"/>
      <c r="P30" s="644"/>
      <c r="Q30" s="646"/>
      <c r="T30" s="526"/>
    </row>
    <row r="31" spans="1:20">
      <c r="A31" s="406"/>
      <c r="B31" s="455" t="s">
        <v>37</v>
      </c>
      <c r="C31" s="456"/>
      <c r="D31" s="638" t="s">
        <v>110</v>
      </c>
      <c r="E31" s="616" t="s">
        <v>110</v>
      </c>
      <c r="F31" s="706">
        <v>1</v>
      </c>
      <c r="G31" s="517">
        <v>1</v>
      </c>
      <c r="H31" s="681">
        <f>(SUM(J31:L31))</f>
        <v>7.749949188444509E-2</v>
      </c>
      <c r="I31" s="572">
        <f t="shared" si="0"/>
        <v>0.10423615526138454</v>
      </c>
      <c r="J31" s="548">
        <f>C118*F31*G31+N31</f>
        <v>4.4094538485977379E-2</v>
      </c>
      <c r="K31" s="457">
        <f>C119*F31*G31+O31</f>
        <v>1.6702476699233856E-2</v>
      </c>
      <c r="L31" s="457">
        <f>C120*F31*G31+P31</f>
        <v>1.6702476699233856E-2</v>
      </c>
      <c r="M31" s="601"/>
      <c r="N31" s="764"/>
      <c r="O31" s="457"/>
      <c r="P31" s="457"/>
      <c r="Q31" s="601"/>
      <c r="T31" s="526"/>
    </row>
    <row r="32" spans="1:20">
      <c r="A32" s="406"/>
      <c r="B32" s="440" t="s">
        <v>28</v>
      </c>
      <c r="C32" s="454"/>
      <c r="D32" s="638" t="s">
        <v>110</v>
      </c>
      <c r="E32" s="616" t="s">
        <v>110</v>
      </c>
      <c r="F32" s="707">
        <v>1</v>
      </c>
      <c r="G32" s="518">
        <v>1</v>
      </c>
      <c r="H32" s="682">
        <f>(SUM(J32:L32))</f>
        <v>4.0911739700429404E-2</v>
      </c>
      <c r="I32" s="571">
        <f t="shared" si="0"/>
        <v>5.502594078662898E-2</v>
      </c>
      <c r="J32" s="591">
        <f>C130*F32*G32+N32</f>
        <v>1.6256129944331836E-2</v>
      </c>
      <c r="K32" s="442">
        <f>C131*F32*G32+O32</f>
        <v>2.1494634146341469E-2</v>
      </c>
      <c r="L32" s="442">
        <f>C132*F32*G32+P32</f>
        <v>3.1609756097560975E-3</v>
      </c>
      <c r="M32" s="592"/>
      <c r="N32" s="570"/>
      <c r="O32" s="442"/>
      <c r="P32" s="442"/>
      <c r="Q32" s="592"/>
      <c r="T32" s="526"/>
    </row>
    <row r="33" spans="1:20">
      <c r="A33" s="406"/>
      <c r="B33" s="733" t="s">
        <v>42</v>
      </c>
      <c r="C33" s="734">
        <f>C162</f>
        <v>0.2175</v>
      </c>
      <c r="D33" s="735"/>
      <c r="E33" s="736"/>
      <c r="F33" s="737">
        <v>1</v>
      </c>
      <c r="G33" s="738">
        <v>1</v>
      </c>
      <c r="H33" s="739">
        <f>C33*$C$54/$C$57*F33*G33</f>
        <v>3.8801294078029541E-2</v>
      </c>
      <c r="I33" s="740">
        <f t="shared" si="0"/>
        <v>5.2187409433479111E-2</v>
      </c>
      <c r="J33" s="741"/>
      <c r="K33" s="742">
        <f>H33</f>
        <v>3.8801294078029541E-2</v>
      </c>
      <c r="L33" s="742"/>
      <c r="M33" s="743"/>
      <c r="N33" s="753"/>
      <c r="O33" s="616"/>
      <c r="P33" s="617"/>
      <c r="Q33" s="618"/>
      <c r="T33" s="526"/>
    </row>
    <row r="34" spans="1:20">
      <c r="A34" s="406"/>
      <c r="B34" s="625" t="s">
        <v>82</v>
      </c>
      <c r="C34" s="573"/>
      <c r="D34" s="626"/>
      <c r="E34" s="576"/>
      <c r="F34" s="709">
        <v>1</v>
      </c>
      <c r="G34" s="627">
        <f>C62</f>
        <v>0.90249999999999997</v>
      </c>
      <c r="H34" s="684">
        <f>(C98)*F34*G34</f>
        <v>1.8793821887959521E-2</v>
      </c>
      <c r="I34" s="575">
        <f t="shared" si="0"/>
        <v>2.5277530066766092E-2</v>
      </c>
      <c r="J34" s="666">
        <f>H34</f>
        <v>1.8793821887959521E-2</v>
      </c>
      <c r="K34" s="628"/>
      <c r="L34" s="628"/>
      <c r="M34" s="667"/>
      <c r="N34" s="753"/>
      <c r="O34" s="617"/>
      <c r="P34" s="617"/>
      <c r="Q34" s="618"/>
      <c r="T34" s="526"/>
    </row>
    <row r="35" spans="1:20">
      <c r="A35" s="406"/>
      <c r="B35" s="443" t="s">
        <v>112</v>
      </c>
      <c r="C35" s="444"/>
      <c r="D35" s="445"/>
      <c r="E35" s="446"/>
      <c r="F35" s="447">
        <v>1</v>
      </c>
      <c r="G35" s="520">
        <f>C62</f>
        <v>0.90249999999999997</v>
      </c>
      <c r="H35" s="685">
        <f>(C93)*F35*G35</f>
        <v>4.0928767667111836E-2</v>
      </c>
      <c r="I35" s="677">
        <f t="shared" si="0"/>
        <v>5.5048843256512811E-2</v>
      </c>
      <c r="J35" s="602">
        <f>H35</f>
        <v>4.0928767667111836E-2</v>
      </c>
      <c r="K35" s="448"/>
      <c r="L35" s="448"/>
      <c r="M35" s="668"/>
      <c r="N35" s="765"/>
      <c r="O35" s="617"/>
      <c r="P35" s="617"/>
      <c r="Q35" s="618"/>
      <c r="T35" s="526"/>
    </row>
    <row r="36" spans="1:20">
      <c r="A36" s="406"/>
      <c r="B36" s="504" t="s">
        <v>15</v>
      </c>
      <c r="C36" s="505"/>
      <c r="D36" s="506"/>
      <c r="E36" s="507"/>
      <c r="F36" s="708">
        <v>1</v>
      </c>
      <c r="G36" s="519">
        <f>C62</f>
        <v>0.90249999999999997</v>
      </c>
      <c r="H36" s="683">
        <f>E171*F36*G36</f>
        <v>4.6775914634146334E-2</v>
      </c>
      <c r="I36" s="554">
        <f t="shared" si="0"/>
        <v>6.2913206031957936E-2</v>
      </c>
      <c r="J36" s="665"/>
      <c r="K36" s="508"/>
      <c r="L36" s="508">
        <f>H36</f>
        <v>4.6775914634146334E-2</v>
      </c>
      <c r="M36" s="603"/>
      <c r="N36" s="753"/>
      <c r="O36" s="617"/>
      <c r="P36" s="616"/>
      <c r="Q36" s="619"/>
      <c r="T36" s="526"/>
    </row>
    <row r="37" spans="1:20">
      <c r="A37" s="406"/>
      <c r="B37" s="504" t="s">
        <v>12</v>
      </c>
      <c r="C37" s="505"/>
      <c r="D37" s="506"/>
      <c r="E37" s="507"/>
      <c r="F37" s="708">
        <v>1</v>
      </c>
      <c r="G37" s="519">
        <f>C62</f>
        <v>0.90249999999999997</v>
      </c>
      <c r="H37" s="683">
        <f>E168*F37*G37</f>
        <v>3.8299573764873598E-2</v>
      </c>
      <c r="I37" s="554">
        <f t="shared" si="0"/>
        <v>5.1512599893593469E-2</v>
      </c>
      <c r="J37" s="665"/>
      <c r="K37" s="508"/>
      <c r="L37" s="508">
        <f>H37</f>
        <v>3.8299573764873598E-2</v>
      </c>
      <c r="M37" s="603"/>
      <c r="N37" s="753"/>
      <c r="O37" s="617"/>
      <c r="P37" s="616"/>
      <c r="Q37" s="619"/>
      <c r="T37" s="526"/>
    </row>
    <row r="38" spans="1:20">
      <c r="A38" s="406"/>
      <c r="B38" s="504" t="s">
        <v>10</v>
      </c>
      <c r="C38" s="505"/>
      <c r="D38" s="506"/>
      <c r="E38" s="507"/>
      <c r="F38" s="708">
        <v>1</v>
      </c>
      <c r="G38" s="519">
        <f>C62</f>
        <v>0.90249999999999997</v>
      </c>
      <c r="H38" s="683">
        <f>E170*F38*G38</f>
        <v>2.476371951219512E-2</v>
      </c>
      <c r="I38" s="554">
        <f t="shared" si="0"/>
        <v>3.3306991428683617E-2</v>
      </c>
      <c r="J38" s="665"/>
      <c r="K38" s="508"/>
      <c r="L38" s="508">
        <f>H38</f>
        <v>2.476371951219512E-2</v>
      </c>
      <c r="M38" s="603"/>
      <c r="N38" s="753"/>
      <c r="O38" s="617"/>
      <c r="P38" s="616"/>
      <c r="Q38" s="619"/>
      <c r="T38" s="526"/>
    </row>
    <row r="39" spans="1:20">
      <c r="A39" s="406"/>
      <c r="B39" s="504" t="s">
        <v>13</v>
      </c>
      <c r="C39" s="505"/>
      <c r="D39" s="506"/>
      <c r="E39" s="507"/>
      <c r="F39" s="708">
        <v>1</v>
      </c>
      <c r="G39" s="519">
        <f>C62</f>
        <v>0.90249999999999997</v>
      </c>
      <c r="H39" s="683">
        <f>E172*F39*G39</f>
        <v>3.61E-2</v>
      </c>
      <c r="I39" s="554">
        <f t="shared" si="0"/>
        <v>4.8554191949369899E-2</v>
      </c>
      <c r="J39" s="665"/>
      <c r="K39" s="508"/>
      <c r="L39" s="757">
        <f>H39</f>
        <v>3.61E-2</v>
      </c>
      <c r="M39" s="603"/>
      <c r="N39" s="753"/>
      <c r="O39" s="617"/>
      <c r="P39" s="616"/>
      <c r="Q39" s="619"/>
      <c r="R39" s="414"/>
      <c r="T39" s="526"/>
    </row>
    <row r="40" spans="1:20">
      <c r="A40" s="406"/>
      <c r="B40" s="504" t="s">
        <v>176</v>
      </c>
      <c r="C40" s="505">
        <v>0.18</v>
      </c>
      <c r="D40" s="506"/>
      <c r="E40" s="507"/>
      <c r="F40" s="708">
        <v>1</v>
      </c>
      <c r="G40" s="519">
        <v>1</v>
      </c>
      <c r="H40" s="683">
        <f>C40*$C$54/$C$57*F40*G40</f>
        <v>3.2111415788714098E-2</v>
      </c>
      <c r="I40" s="554">
        <f t="shared" si="0"/>
        <v>4.3189580220810292E-2</v>
      </c>
      <c r="J40" s="665"/>
      <c r="K40" s="508">
        <f>H40</f>
        <v>3.2111415788714098E-2</v>
      </c>
      <c r="L40" s="757"/>
      <c r="M40" s="603"/>
      <c r="N40" s="753"/>
      <c r="O40" s="616"/>
      <c r="P40" s="617"/>
      <c r="Q40" s="618"/>
      <c r="R40" s="414"/>
      <c r="T40" s="526"/>
    </row>
    <row r="41" spans="1:20">
      <c r="A41" s="406"/>
      <c r="B41" s="504" t="s">
        <v>11</v>
      </c>
      <c r="C41" s="505"/>
      <c r="D41" s="506"/>
      <c r="E41" s="507"/>
      <c r="F41" s="708">
        <v>1</v>
      </c>
      <c r="G41" s="519">
        <f>C62</f>
        <v>0.90249999999999997</v>
      </c>
      <c r="H41" s="683">
        <f>E169*F41*G41</f>
        <v>3.1642530487804882E-2</v>
      </c>
      <c r="I41" s="554">
        <f t="shared" si="0"/>
        <v>4.2558933492206852E-2</v>
      </c>
      <c r="J41" s="665"/>
      <c r="K41" s="508"/>
      <c r="L41" s="757">
        <f>H41</f>
        <v>3.1642530487804882E-2</v>
      </c>
      <c r="M41" s="603"/>
      <c r="N41" s="753"/>
      <c r="O41" s="617"/>
      <c r="P41" s="616"/>
      <c r="Q41" s="619"/>
      <c r="R41" s="408"/>
      <c r="T41" s="526"/>
    </row>
    <row r="42" spans="1:20">
      <c r="A42" s="406"/>
      <c r="B42" s="463" t="s">
        <v>38</v>
      </c>
      <c r="C42" s="464"/>
      <c r="D42" s="617" t="s">
        <v>110</v>
      </c>
      <c r="E42" s="616" t="s">
        <v>110</v>
      </c>
      <c r="F42" s="710">
        <v>1</v>
      </c>
      <c r="G42" s="521">
        <v>1</v>
      </c>
      <c r="H42" s="686">
        <f>SUM(J42:M42)</f>
        <v>4.4650856611728573E-2</v>
      </c>
      <c r="I42" s="568">
        <f t="shared" si="0"/>
        <v>6.005502112547538E-2</v>
      </c>
      <c r="J42" s="612">
        <f>C144*F42*G42+N42</f>
        <v>1.409972287034722E-2</v>
      </c>
      <c r="K42" s="466">
        <f>C145*F42*G42+O42</f>
        <v>1.6288923858556792E-2</v>
      </c>
      <c r="L42" s="758">
        <f>C146*F42*G42+P42</f>
        <v>1.4262209882824561E-2</v>
      </c>
      <c r="M42" s="613">
        <f>C147*F42*G42+Q42</f>
        <v>0</v>
      </c>
      <c r="N42" s="766"/>
      <c r="O42" s="629"/>
      <c r="P42" s="629"/>
      <c r="Q42" s="630"/>
      <c r="R42" s="409"/>
      <c r="T42" s="526"/>
    </row>
    <row r="43" spans="1:20">
      <c r="A43" s="406"/>
      <c r="B43" s="504" t="s">
        <v>14</v>
      </c>
      <c r="C43" s="505"/>
      <c r="D43" s="507"/>
      <c r="E43" s="507"/>
      <c r="F43" s="708">
        <v>1</v>
      </c>
      <c r="G43" s="519">
        <f>C62</f>
        <v>0.90249999999999997</v>
      </c>
      <c r="H43" s="683">
        <f>E173*F43*G43</f>
        <v>2.0636432926829269E-2</v>
      </c>
      <c r="I43" s="554">
        <f t="shared" si="0"/>
        <v>2.7755826190569682E-2</v>
      </c>
      <c r="J43" s="665"/>
      <c r="K43" s="508"/>
      <c r="L43" s="757">
        <f>H43</f>
        <v>2.0636432926829269E-2</v>
      </c>
      <c r="M43" s="603"/>
      <c r="N43" s="753"/>
      <c r="O43" s="617"/>
      <c r="P43" s="616"/>
      <c r="Q43" s="619"/>
      <c r="R43" s="409"/>
      <c r="T43" s="526"/>
    </row>
    <row r="44" spans="1:20">
      <c r="A44" s="406"/>
      <c r="B44" s="449" t="s">
        <v>29</v>
      </c>
      <c r="C44" s="450"/>
      <c r="D44" s="453"/>
      <c r="E44" s="451"/>
      <c r="F44" s="756">
        <v>1</v>
      </c>
      <c r="G44" s="522">
        <f>C62</f>
        <v>0.90249999999999997</v>
      </c>
      <c r="H44" s="687">
        <f>$C$153*F44*G44</f>
        <v>1.98109756097561E-3</v>
      </c>
      <c r="I44" s="569">
        <f t="shared" si="0"/>
        <v>2.6645593142946896E-3</v>
      </c>
      <c r="J44" s="547"/>
      <c r="K44" s="452"/>
      <c r="L44" s="759">
        <f>H44</f>
        <v>1.98109756097561E-3</v>
      </c>
      <c r="M44" s="604"/>
      <c r="N44" s="753"/>
      <c r="O44" s="617"/>
      <c r="P44" s="616"/>
      <c r="Q44" s="619"/>
      <c r="R44" s="409"/>
      <c r="T44" s="526"/>
    </row>
    <row r="45" spans="1:20">
      <c r="A45" s="406"/>
      <c r="B45" s="504" t="s">
        <v>77</v>
      </c>
      <c r="C45" s="505">
        <f>C178</f>
        <v>0.05</v>
      </c>
      <c r="D45" s="507"/>
      <c r="E45" s="507"/>
      <c r="F45" s="711">
        <v>1</v>
      </c>
      <c r="G45" s="519">
        <f>C62</f>
        <v>0.90249999999999997</v>
      </c>
      <c r="H45" s="683">
        <f>C45*$C$54/$C$57*F45*G45</f>
        <v>8.0501535414762449E-3</v>
      </c>
      <c r="I45" s="554">
        <f t="shared" si="0"/>
        <v>1.0827387819244805E-2</v>
      </c>
      <c r="J45" s="665"/>
      <c r="K45" s="508">
        <f>H45</f>
        <v>8.0501535414762449E-3</v>
      </c>
      <c r="L45" s="757"/>
      <c r="M45" s="603"/>
      <c r="N45" s="753"/>
      <c r="O45" s="616"/>
      <c r="P45" s="617"/>
      <c r="Q45" s="618"/>
      <c r="R45" s="409"/>
      <c r="T45" s="526"/>
    </row>
    <row r="46" spans="1:20">
      <c r="A46" s="406"/>
      <c r="B46" s="578" t="s">
        <v>73</v>
      </c>
      <c r="C46" s="555"/>
      <c r="D46" s="551"/>
      <c r="E46" s="551"/>
      <c r="F46" s="712">
        <v>1</v>
      </c>
      <c r="G46" s="673">
        <v>1</v>
      </c>
      <c r="H46" s="688">
        <f>C183*F46*G46</f>
        <v>0</v>
      </c>
      <c r="I46" s="754">
        <f t="shared" si="0"/>
        <v>0</v>
      </c>
      <c r="J46" s="669"/>
      <c r="K46" s="670"/>
      <c r="L46" s="760"/>
      <c r="M46" s="608">
        <f>H46</f>
        <v>0</v>
      </c>
      <c r="N46" s="753"/>
      <c r="O46" s="617"/>
      <c r="P46" s="617"/>
      <c r="Q46" s="619"/>
      <c r="R46" s="409"/>
      <c r="T46" s="526"/>
    </row>
    <row r="47" spans="1:20" ht="15" thickBot="1">
      <c r="A47" s="406"/>
      <c r="B47" s="579" t="s">
        <v>76</v>
      </c>
      <c r="C47" s="564"/>
      <c r="D47" s="755"/>
      <c r="E47" s="755"/>
      <c r="F47" s="713">
        <v>1</v>
      </c>
      <c r="G47" s="674">
        <v>1</v>
      </c>
      <c r="H47" s="689">
        <f>C187*F47*G47</f>
        <v>0</v>
      </c>
      <c r="I47" s="752">
        <f t="shared" si="0"/>
        <v>0</v>
      </c>
      <c r="J47" s="671"/>
      <c r="K47" s="672"/>
      <c r="L47" s="672"/>
      <c r="M47" s="609">
        <f>H47</f>
        <v>0</v>
      </c>
      <c r="N47" s="767"/>
      <c r="O47" s="620"/>
      <c r="P47" s="620"/>
      <c r="Q47" s="621"/>
      <c r="R47" s="409"/>
      <c r="T47" s="526"/>
    </row>
    <row r="48" spans="1:20" ht="15" thickBot="1">
      <c r="A48" s="406"/>
      <c r="B48" s="429" t="s">
        <v>6</v>
      </c>
      <c r="C48" s="577"/>
      <c r="D48" s="403"/>
      <c r="E48" s="403"/>
      <c r="F48" s="403"/>
      <c r="G48" s="403"/>
      <c r="H48" s="435">
        <f>SUM(H28:H47)</f>
        <v>0.74349914087013202</v>
      </c>
      <c r="I48" s="552">
        <f t="shared" ref="I48:M48" si="1">SUM(I28:I47)</f>
        <v>1</v>
      </c>
      <c r="J48" s="611">
        <f t="shared" si="1"/>
        <v>0.28199445740694418</v>
      </c>
      <c r="K48" s="614">
        <f t="shared" si="1"/>
        <v>0.19750308999359625</v>
      </c>
      <c r="L48" s="614">
        <f t="shared" si="1"/>
        <v>0.26400159346959151</v>
      </c>
      <c r="M48" s="615">
        <f t="shared" si="1"/>
        <v>0</v>
      </c>
      <c r="N48" s="418"/>
      <c r="O48" s="614"/>
      <c r="P48" s="614"/>
      <c r="Q48" s="615"/>
      <c r="R48" s="409"/>
      <c r="T48" s="526"/>
    </row>
    <row r="49" spans="1:20">
      <c r="A49" s="406"/>
      <c r="H49" s="404"/>
      <c r="K49" s="414"/>
      <c r="Q49" s="409"/>
      <c r="R49" s="409"/>
      <c r="T49" s="526"/>
    </row>
    <row r="50" spans="1:20">
      <c r="A50" s="406"/>
      <c r="Q50" s="409"/>
      <c r="R50" s="409"/>
      <c r="T50" s="526"/>
    </row>
    <row r="51" spans="1:20" ht="28.8">
      <c r="A51" s="406"/>
      <c r="B51" s="543" t="s">
        <v>57</v>
      </c>
      <c r="C51" s="420"/>
      <c r="D51" s="420"/>
      <c r="E51" s="420"/>
      <c r="F51" s="420"/>
      <c r="G51" s="544"/>
      <c r="H51" s="420"/>
      <c r="I51" s="420"/>
      <c r="J51" s="420"/>
      <c r="Q51" s="409"/>
      <c r="R51" s="409"/>
      <c r="T51" s="526"/>
    </row>
    <row r="52" spans="1:20">
      <c r="A52" s="406"/>
      <c r="E52" s="526"/>
      <c r="Q52" s="409"/>
      <c r="R52" s="409"/>
      <c r="T52" s="526"/>
    </row>
    <row r="53" spans="1:20">
      <c r="A53" s="406"/>
      <c r="B53" s="776" t="s">
        <v>203</v>
      </c>
      <c r="C53" s="775"/>
      <c r="D53" s="777"/>
      <c r="H53" s="404"/>
      <c r="Q53" s="409"/>
      <c r="R53" s="409"/>
      <c r="T53" s="526"/>
    </row>
    <row r="54" spans="1:20">
      <c r="A54" s="406"/>
      <c r="B54" s="778" t="s">
        <v>197</v>
      </c>
      <c r="C54" s="779">
        <v>72</v>
      </c>
      <c r="D54" s="780" t="s">
        <v>200</v>
      </c>
      <c r="H54" s="748"/>
      <c r="Q54" s="409"/>
      <c r="R54" s="409"/>
      <c r="T54" s="526"/>
    </row>
    <row r="55" spans="1:20">
      <c r="A55" s="406"/>
      <c r="B55" s="405" t="s">
        <v>196</v>
      </c>
      <c r="C55" s="526">
        <v>89</v>
      </c>
      <c r="D55" s="467" t="s">
        <v>1</v>
      </c>
      <c r="M55" s="404"/>
      <c r="Q55" s="409"/>
      <c r="R55" s="409"/>
      <c r="T55" s="526"/>
    </row>
    <row r="56" spans="1:20">
      <c r="A56" s="406"/>
      <c r="B56" s="406" t="s">
        <v>198</v>
      </c>
      <c r="C56" s="541">
        <f>C54*0.156^2/(C55/100)</f>
        <v>1.9687550561797753</v>
      </c>
      <c r="D56" s="467" t="s">
        <v>199</v>
      </c>
      <c r="H56" s="722"/>
      <c r="M56" s="404"/>
      <c r="Q56" s="410"/>
      <c r="R56" s="410"/>
      <c r="T56" s="526"/>
    </row>
    <row r="57" spans="1:20">
      <c r="A57" s="406"/>
      <c r="B57" s="747" t="s">
        <v>201</v>
      </c>
      <c r="C57" s="774">
        <f>C56*1000*$C$14/100</f>
        <v>403.5947865168539</v>
      </c>
      <c r="D57" s="746" t="s">
        <v>202</v>
      </c>
      <c r="M57" s="404"/>
      <c r="Q57" s="414"/>
      <c r="R57" s="414"/>
      <c r="T57" s="526"/>
    </row>
    <row r="58" spans="1:20">
      <c r="A58" s="406"/>
      <c r="M58" s="404"/>
      <c r="Q58" s="414"/>
      <c r="R58" s="414"/>
      <c r="T58" s="526"/>
    </row>
    <row r="59" spans="1:20">
      <c r="A59" s="406"/>
      <c r="B59" s="487" t="s">
        <v>65</v>
      </c>
      <c r="C59" s="488"/>
      <c r="D59" s="489"/>
      <c r="M59" s="404"/>
      <c r="N59" s="414"/>
      <c r="O59" s="414"/>
      <c r="P59" s="414"/>
      <c r="Q59" s="414"/>
      <c r="R59" s="414"/>
      <c r="T59" s="526"/>
    </row>
    <row r="60" spans="1:20">
      <c r="A60" s="406"/>
      <c r="B60" s="405" t="s">
        <v>49</v>
      </c>
      <c r="C60" s="526">
        <v>2</v>
      </c>
      <c r="D60" s="467" t="s">
        <v>31</v>
      </c>
      <c r="M60" s="404"/>
      <c r="N60" s="414"/>
      <c r="O60" s="414"/>
      <c r="P60" s="414"/>
      <c r="Q60" s="414"/>
      <c r="R60" s="414"/>
      <c r="T60" s="526"/>
    </row>
    <row r="61" spans="1:20">
      <c r="A61" s="406"/>
      <c r="B61" s="405" t="s">
        <v>48</v>
      </c>
      <c r="C61" s="526">
        <v>5</v>
      </c>
      <c r="D61" s="467" t="s">
        <v>1</v>
      </c>
      <c r="E61" s="402"/>
      <c r="H61" s="404"/>
      <c r="N61" s="414"/>
      <c r="O61" s="414"/>
      <c r="P61" s="414"/>
      <c r="Q61" s="414"/>
      <c r="R61" s="414"/>
      <c r="T61" s="526"/>
    </row>
    <row r="62" spans="1:20">
      <c r="A62" s="406"/>
      <c r="B62" s="525" t="s">
        <v>47</v>
      </c>
      <c r="C62" s="434">
        <f>(1-C61/100)^C60</f>
        <v>0.90249999999999997</v>
      </c>
      <c r="D62" s="524" t="s">
        <v>31</v>
      </c>
      <c r="M62" s="404"/>
      <c r="N62" s="414"/>
      <c r="O62" s="414"/>
      <c r="P62" s="414"/>
      <c r="Q62" s="414"/>
      <c r="R62" s="414"/>
      <c r="T62" s="526"/>
    </row>
    <row r="63" spans="1:20">
      <c r="A63" s="406"/>
      <c r="M63" s="404"/>
      <c r="N63" s="414"/>
      <c r="O63" s="414"/>
      <c r="P63" s="414"/>
      <c r="Q63" s="414"/>
      <c r="R63" s="414"/>
      <c r="T63" s="526"/>
    </row>
    <row r="64" spans="1:20">
      <c r="A64" s="406"/>
      <c r="B64" s="484" t="s">
        <v>36</v>
      </c>
      <c r="C64" s="485"/>
      <c r="D64" s="486"/>
      <c r="N64" s="414"/>
      <c r="O64" s="414"/>
      <c r="P64" s="414"/>
      <c r="Q64" s="414"/>
      <c r="R64" s="414"/>
      <c r="T64" s="526"/>
    </row>
    <row r="65" spans="1:20">
      <c r="A65" s="406"/>
      <c r="B65" s="468" t="s">
        <v>18</v>
      </c>
      <c r="C65" s="537">
        <v>2329</v>
      </c>
      <c r="D65" s="470" t="s">
        <v>20</v>
      </c>
      <c r="K65" s="404"/>
      <c r="N65" s="414"/>
      <c r="O65" s="414"/>
      <c r="P65" s="414"/>
      <c r="Q65" s="414"/>
      <c r="R65" s="414"/>
      <c r="T65" s="526"/>
    </row>
    <row r="66" spans="1:20" ht="15" customHeight="1">
      <c r="A66" s="406"/>
      <c r="B66" s="468" t="s">
        <v>204</v>
      </c>
      <c r="C66" s="469">
        <f>0.156*0.156*(C15/10^6/C16)*C65</f>
        <v>1.236622778181818E-2</v>
      </c>
      <c r="D66" s="470" t="s">
        <v>19</v>
      </c>
      <c r="N66" s="414"/>
      <c r="O66" s="414"/>
      <c r="P66" s="414"/>
      <c r="Q66" s="414"/>
      <c r="R66" s="414"/>
      <c r="T66" s="526"/>
    </row>
    <row r="67" spans="1:20">
      <c r="A67" s="406"/>
      <c r="B67" s="781" t="s">
        <v>54</v>
      </c>
      <c r="C67" s="782">
        <f>C66*C17</f>
        <v>0.3091556945454545</v>
      </c>
      <c r="D67" s="783" t="s">
        <v>21</v>
      </c>
      <c r="M67" s="414"/>
      <c r="N67" s="414"/>
      <c r="O67" s="409"/>
      <c r="P67" s="414"/>
      <c r="Q67" s="414"/>
      <c r="R67" s="414"/>
      <c r="T67" s="526"/>
    </row>
    <row r="68" spans="1:20">
      <c r="A68" s="406"/>
      <c r="J68" s="526"/>
      <c r="K68" s="414"/>
      <c r="L68" s="414"/>
      <c r="M68" s="414"/>
      <c r="N68" s="414"/>
      <c r="O68" s="540"/>
      <c r="P68" s="414"/>
      <c r="Q68" s="414"/>
      <c r="R68" s="414"/>
      <c r="T68" s="526"/>
    </row>
    <row r="69" spans="1:20">
      <c r="A69" s="406"/>
      <c r="B69" s="495" t="s">
        <v>192</v>
      </c>
      <c r="C69" s="496"/>
      <c r="D69" s="497"/>
      <c r="E69" s="497"/>
      <c r="F69" s="497"/>
      <c r="G69" s="497"/>
      <c r="H69" s="497"/>
      <c r="I69" s="497"/>
      <c r="J69" s="498"/>
      <c r="K69" s="414"/>
      <c r="L69" s="414"/>
      <c r="M69" s="414"/>
      <c r="N69" s="414"/>
      <c r="O69" s="540"/>
      <c r="P69" s="414"/>
      <c r="Q69" s="414"/>
      <c r="R69" s="414"/>
      <c r="T69" s="526"/>
    </row>
    <row r="70" spans="1:20">
      <c r="A70" s="406"/>
      <c r="B70" s="462" t="s">
        <v>128</v>
      </c>
      <c r="C70" s="460">
        <v>347</v>
      </c>
      <c r="D70" s="460" t="s">
        <v>129</v>
      </c>
      <c r="E70" s="460"/>
      <c r="F70" s="460"/>
      <c r="G70" s="460"/>
      <c r="H70" s="460"/>
      <c r="I70" s="460"/>
      <c r="J70" s="491"/>
      <c r="K70" s="414"/>
      <c r="L70" s="414"/>
      <c r="M70" s="414"/>
      <c r="N70" s="414"/>
      <c r="O70" s="540"/>
      <c r="P70" s="414"/>
      <c r="Q70" s="414"/>
      <c r="R70" s="414"/>
      <c r="T70" s="526"/>
    </row>
    <row r="71" spans="1:20">
      <c r="A71" s="406"/>
      <c r="B71" s="462" t="s">
        <v>130</v>
      </c>
      <c r="C71" s="635">
        <v>14.4</v>
      </c>
      <c r="D71" s="460" t="s">
        <v>31</v>
      </c>
      <c r="E71" s="460"/>
      <c r="F71" s="460"/>
      <c r="G71" s="460"/>
      <c r="H71" s="460"/>
      <c r="I71" s="460"/>
      <c r="J71" s="491"/>
      <c r="K71" s="414"/>
      <c r="L71" s="414"/>
      <c r="M71" s="414"/>
      <c r="N71" s="414"/>
      <c r="O71" s="540"/>
      <c r="P71" s="414"/>
      <c r="Q71" s="414"/>
      <c r="R71" s="414"/>
      <c r="T71" s="526"/>
    </row>
    <row r="72" spans="1:20">
      <c r="A72" s="406"/>
      <c r="B72" s="462" t="s">
        <v>90</v>
      </c>
      <c r="C72" s="514">
        <f>C70*10^6/(C71/100*1000)</f>
        <v>2409722.2222222215</v>
      </c>
      <c r="D72" s="460" t="s">
        <v>34</v>
      </c>
      <c r="E72" s="460"/>
      <c r="F72" s="460"/>
      <c r="G72" s="460"/>
      <c r="H72" s="460"/>
      <c r="I72" s="460"/>
      <c r="J72" s="491"/>
      <c r="K72" s="414"/>
      <c r="L72" s="414"/>
      <c r="M72" s="414"/>
      <c r="N72" s="414"/>
      <c r="O72" s="540"/>
      <c r="P72" s="414"/>
      <c r="Q72" s="526"/>
      <c r="T72" s="526"/>
    </row>
    <row r="73" spans="1:20">
      <c r="A73" s="406"/>
      <c r="B73" s="462" t="s">
        <v>268</v>
      </c>
      <c r="C73" s="460">
        <v>5</v>
      </c>
      <c r="D73" s="460" t="s">
        <v>133</v>
      </c>
      <c r="E73" s="460"/>
      <c r="F73" s="460"/>
      <c r="G73" s="460"/>
      <c r="H73" s="460"/>
      <c r="I73" s="460"/>
      <c r="J73" s="491"/>
      <c r="K73" s="414"/>
      <c r="L73" s="414"/>
      <c r="M73" s="414"/>
      <c r="N73" s="414"/>
      <c r="O73" s="540"/>
      <c r="P73" s="414"/>
      <c r="Q73" s="526"/>
      <c r="T73" s="526"/>
    </row>
    <row r="74" spans="1:20">
      <c r="A74" s="406"/>
      <c r="B74" s="462" t="s">
        <v>269</v>
      </c>
      <c r="C74" s="634">
        <v>39</v>
      </c>
      <c r="D74" s="460" t="s">
        <v>133</v>
      </c>
      <c r="E74" s="460"/>
      <c r="F74" s="460"/>
      <c r="G74" s="460"/>
      <c r="H74" s="460"/>
      <c r="I74" s="460"/>
      <c r="J74" s="491"/>
      <c r="K74" s="414"/>
      <c r="L74" s="414"/>
      <c r="M74" s="414"/>
      <c r="N74" s="414"/>
      <c r="O74" s="540"/>
      <c r="P74" s="414"/>
      <c r="Q74" s="526"/>
      <c r="T74" s="526"/>
    </row>
    <row r="75" spans="1:20">
      <c r="A75" s="406"/>
      <c r="B75" s="750"/>
      <c r="C75" s="460"/>
      <c r="D75" s="460"/>
      <c r="E75" s="460"/>
      <c r="F75" s="460"/>
      <c r="G75" s="460"/>
      <c r="H75" s="460"/>
      <c r="I75" s="460"/>
      <c r="J75" s="491"/>
      <c r="K75" s="414"/>
      <c r="L75" s="414"/>
      <c r="M75" s="414"/>
      <c r="N75" s="749"/>
      <c r="O75" s="414"/>
      <c r="P75" s="414"/>
      <c r="Q75" s="526"/>
      <c r="T75" s="526"/>
    </row>
    <row r="76" spans="1:20">
      <c r="A76" s="406"/>
      <c r="B76" s="462"/>
      <c r="C76" s="460" t="s">
        <v>138</v>
      </c>
      <c r="D76" s="460" t="s">
        <v>131</v>
      </c>
      <c r="E76" s="460" t="s">
        <v>235</v>
      </c>
      <c r="F76" s="460" t="s">
        <v>236</v>
      </c>
      <c r="G76" s="460" t="s">
        <v>205</v>
      </c>
      <c r="H76" s="492" t="s">
        <v>135</v>
      </c>
      <c r="I76" s="460" t="s">
        <v>270</v>
      </c>
      <c r="J76" s="491"/>
      <c r="K76" s="414"/>
      <c r="L76" s="414"/>
      <c r="M76" s="414"/>
      <c r="N76" s="414"/>
      <c r="O76" s="751"/>
      <c r="P76" s="414"/>
      <c r="Q76" s="526"/>
      <c r="T76" s="526"/>
    </row>
    <row r="77" spans="1:20">
      <c r="A77" s="406"/>
      <c r="B77" s="462" t="s">
        <v>132</v>
      </c>
      <c r="C77" s="634">
        <f>28000+18500</f>
        <v>46500</v>
      </c>
      <c r="D77" s="514">
        <f>(80.5*0.85+16+76.8*0.85+13)*1.27*1000000*0.9*1.15</f>
        <v>213867587.24999997</v>
      </c>
      <c r="E77" s="514">
        <f>(80.5*0.85+16*0+76.8*0.85+13*0)*1.27*1000000*0.9*1.15/C73</f>
        <v>35149707.449999988</v>
      </c>
      <c r="F77" s="514">
        <f>(80.5*0.85*0+16*1+76.8*0.85*0+13*1)*1.27*1000000*0.9*1.15/C74</f>
        <v>977411.5384615385</v>
      </c>
      <c r="G77" s="635">
        <f>(E77+F77)/$C$72</f>
        <v>14.992233816537352</v>
      </c>
      <c r="H77" s="637">
        <f>G77/(($C$14/100)*1000)</f>
        <v>7.3132847885548052E-2</v>
      </c>
      <c r="I77" s="490">
        <f>D77/1000000/$C$70</f>
        <v>0.61633310446685863</v>
      </c>
      <c r="J77" s="491"/>
      <c r="K77" s="414"/>
      <c r="L77" s="414"/>
      <c r="M77" s="414"/>
      <c r="N77" s="414"/>
      <c r="O77" s="751"/>
      <c r="P77" s="414"/>
      <c r="Q77" s="526"/>
      <c r="T77" s="526"/>
    </row>
    <row r="78" spans="1:20">
      <c r="A78" s="406"/>
      <c r="B78" s="462" t="s">
        <v>44</v>
      </c>
      <c r="C78" s="634">
        <v>18000</v>
      </c>
      <c r="D78" s="514">
        <f>(110*0.85+16.3)*1.27*1000000*0.9*1.15</f>
        <v>144326610</v>
      </c>
      <c r="E78" s="514">
        <f>(110*0.85+16.3*0)*1.27*1000000*0.9*1.15/C73</f>
        <v>24580214.999999996</v>
      </c>
      <c r="F78" s="514">
        <f>(110*0.85*0+16.3*1)*1.27*1000000*0.9*1.15/C74</f>
        <v>549372.69230769225</v>
      </c>
      <c r="G78" s="635">
        <f t="shared" ref="G78:G79" si="2">(E78+F78)/$C$72</f>
        <v>10.428416794502329</v>
      </c>
      <c r="H78" s="637">
        <f>G78/(($C$14/100)*1000)</f>
        <v>5.0870325826840632E-2</v>
      </c>
      <c r="I78" s="490">
        <f t="shared" ref="I78:I79" si="3">D78/1000000/$C$70</f>
        <v>0.41592682997118152</v>
      </c>
      <c r="J78" s="491"/>
      <c r="K78" s="414"/>
      <c r="L78" s="414"/>
      <c r="M78" s="414"/>
      <c r="N78" s="414"/>
      <c r="O78" s="751"/>
      <c r="P78" s="414"/>
      <c r="Q78" s="526"/>
      <c r="T78" s="526"/>
    </row>
    <row r="79" spans="1:20">
      <c r="A79" s="406"/>
      <c r="B79" s="462" t="s">
        <v>45</v>
      </c>
      <c r="C79" s="634">
        <v>20000</v>
      </c>
      <c r="D79" s="514">
        <f>(73.5*0.85+20)*1.27*1000000*0.6*1.15</f>
        <v>72272842.49999997</v>
      </c>
      <c r="E79" s="514">
        <f>(73.5*0.85+20*0)*1.27*1000000*0.6*1.15/C73</f>
        <v>10949368.499999998</v>
      </c>
      <c r="F79" s="514">
        <f>(73.5*0.85*0+20*1)*1.27*1000000*0.6*1.15/C74</f>
        <v>449384.61538461538</v>
      </c>
      <c r="G79" s="635">
        <f t="shared" si="2"/>
        <v>4.7303182957215704</v>
      </c>
      <c r="H79" s="637">
        <f>G79/(($C$14/100)*1000)</f>
        <v>2.307472339376376E-2</v>
      </c>
      <c r="I79" s="490">
        <f t="shared" si="3"/>
        <v>0.20827908501440912</v>
      </c>
      <c r="J79" s="491"/>
      <c r="K79" s="414"/>
      <c r="L79" s="414"/>
      <c r="M79" s="414"/>
      <c r="N79" s="414"/>
      <c r="O79" s="751"/>
      <c r="P79" s="414"/>
      <c r="Q79" s="526"/>
      <c r="T79" s="526"/>
    </row>
    <row r="80" spans="1:20">
      <c r="A80" s="406"/>
      <c r="B80" s="493"/>
      <c r="C80" s="494" t="s">
        <v>194</v>
      </c>
      <c r="D80" s="808">
        <f>SUM(D77:D79)/1000000/C70</f>
        <v>1.2405390194524497</v>
      </c>
      <c r="E80" s="494"/>
      <c r="F80" s="494"/>
      <c r="G80" s="809" t="s">
        <v>136</v>
      </c>
      <c r="H80" s="810">
        <f>SUM(H77:H79)</f>
        <v>0.14707789710615243</v>
      </c>
      <c r="I80" s="494"/>
      <c r="J80" s="793"/>
      <c r="K80" s="414"/>
      <c r="L80" s="414"/>
      <c r="M80" s="414"/>
      <c r="N80" s="414"/>
      <c r="O80" s="540"/>
      <c r="P80" s="414"/>
      <c r="Q80" s="526"/>
      <c r="T80" s="526"/>
    </row>
    <row r="81" spans="1:20">
      <c r="A81" s="406"/>
      <c r="B81" s="414"/>
      <c r="C81" s="414"/>
      <c r="D81" s="414"/>
      <c r="E81" s="408"/>
      <c r="F81" s="408"/>
      <c r="G81" s="414"/>
      <c r="H81" s="414"/>
      <c r="I81" s="414"/>
      <c r="J81" s="414"/>
      <c r="K81" s="414"/>
      <c r="L81" s="414"/>
      <c r="M81" s="409"/>
      <c r="N81" s="633"/>
      <c r="O81" s="633"/>
      <c r="P81" s="633"/>
      <c r="T81" s="526"/>
    </row>
    <row r="82" spans="1:20">
      <c r="A82" s="406"/>
      <c r="B82" s="647" t="s">
        <v>126</v>
      </c>
      <c r="C82" s="648"/>
      <c r="D82" s="648"/>
      <c r="E82" s="649"/>
      <c r="F82" s="411"/>
      <c r="G82" s="411"/>
      <c r="H82" s="411"/>
      <c r="I82" s="411"/>
      <c r="J82" s="414"/>
      <c r="K82" s="414"/>
      <c r="L82" s="414"/>
      <c r="M82" s="409"/>
      <c r="N82" s="633"/>
      <c r="O82" s="633"/>
      <c r="P82" s="633"/>
      <c r="T82" s="526"/>
    </row>
    <row r="83" spans="1:20">
      <c r="A83" s="406"/>
      <c r="B83" s="553" t="s">
        <v>139</v>
      </c>
      <c r="C83" s="566">
        <v>0.05</v>
      </c>
      <c r="D83" s="651" t="s">
        <v>31</v>
      </c>
      <c r="E83" s="652"/>
      <c r="F83" s="411"/>
      <c r="G83" s="411"/>
      <c r="H83" s="411"/>
      <c r="I83" s="411"/>
      <c r="J83" s="414"/>
      <c r="K83" s="414"/>
      <c r="L83" s="414"/>
      <c r="M83" s="409"/>
      <c r="N83" s="633"/>
      <c r="O83" s="633"/>
      <c r="P83" s="633"/>
      <c r="T83" s="526"/>
    </row>
    <row r="84" spans="1:20">
      <c r="A84" s="406"/>
      <c r="B84" s="553"/>
      <c r="C84" s="566" t="s">
        <v>134</v>
      </c>
      <c r="D84" s="566" t="s">
        <v>205</v>
      </c>
      <c r="E84" s="653" t="s">
        <v>135</v>
      </c>
      <c r="F84" s="411"/>
      <c r="G84" s="411"/>
      <c r="H84" s="411"/>
      <c r="I84" s="411"/>
      <c r="J84" s="414"/>
      <c r="K84" s="414"/>
      <c r="L84" s="414"/>
      <c r="M84" s="409"/>
      <c r="N84" s="633"/>
      <c r="O84" s="633"/>
      <c r="P84" s="633"/>
      <c r="T84" s="526"/>
    </row>
    <row r="85" spans="1:20">
      <c r="A85" s="406"/>
      <c r="B85" s="553" t="s">
        <v>132</v>
      </c>
      <c r="C85" s="654">
        <f>$C$83*D77</f>
        <v>10693379.362499999</v>
      </c>
      <c r="D85" s="650">
        <f>C85/$C$72</f>
        <v>4.437598352161384</v>
      </c>
      <c r="E85" s="655">
        <f>D85/(($C$14/100)*1000)</f>
        <v>2.164682123005553E-2</v>
      </c>
      <c r="F85" s="411"/>
      <c r="G85" s="411"/>
      <c r="H85" s="411"/>
      <c r="I85" s="411"/>
      <c r="J85" s="414"/>
      <c r="K85" s="414"/>
      <c r="L85" s="414"/>
      <c r="M85" s="409"/>
      <c r="N85" s="633"/>
      <c r="O85" s="633"/>
      <c r="P85" s="633"/>
      <c r="T85" s="526"/>
    </row>
    <row r="86" spans="1:20">
      <c r="A86" s="406"/>
      <c r="B86" s="553" t="s">
        <v>44</v>
      </c>
      <c r="C86" s="654">
        <f>$C$83*D78</f>
        <v>7216330.5</v>
      </c>
      <c r="D86" s="650">
        <f>C86/$C$72</f>
        <v>2.9946731757925082</v>
      </c>
      <c r="E86" s="655">
        <f>D86/(($C$14/100)*1000)</f>
        <v>1.4608161833134186E-2</v>
      </c>
      <c r="F86" s="411"/>
      <c r="G86" s="411"/>
      <c r="H86" s="411"/>
      <c r="I86" s="411"/>
      <c r="J86" s="414"/>
      <c r="K86" s="414"/>
      <c r="L86" s="414"/>
      <c r="M86" s="409"/>
      <c r="N86" s="633"/>
      <c r="O86" s="633"/>
      <c r="P86" s="633"/>
      <c r="T86" s="526"/>
    </row>
    <row r="87" spans="1:20">
      <c r="A87" s="406"/>
      <c r="B87" s="553" t="s">
        <v>45</v>
      </c>
      <c r="C87" s="654">
        <f>$C$83*D79</f>
        <v>3613642.1249999986</v>
      </c>
      <c r="D87" s="650">
        <f>C87/$C$72</f>
        <v>1.4996094121037462</v>
      </c>
      <c r="E87" s="655">
        <f>D87/(($C$14/100)*1000)</f>
        <v>7.3151678639207136E-3</v>
      </c>
      <c r="F87" s="411"/>
      <c r="G87" s="411"/>
      <c r="H87" s="411"/>
      <c r="I87" s="411"/>
      <c r="J87" s="414"/>
      <c r="K87" s="414"/>
      <c r="L87" s="414"/>
      <c r="M87" s="409"/>
      <c r="N87" s="633"/>
      <c r="O87" s="633"/>
      <c r="P87" s="633"/>
      <c r="T87" s="526"/>
    </row>
    <row r="88" spans="1:20">
      <c r="A88" s="406"/>
      <c r="B88" s="656"/>
      <c r="C88" s="657"/>
      <c r="D88" s="658" t="s">
        <v>136</v>
      </c>
      <c r="E88" s="659">
        <f>SUM(E85:E87)</f>
        <v>4.3570150927110432E-2</v>
      </c>
      <c r="F88" s="411"/>
      <c r="G88" s="411"/>
      <c r="H88" s="411"/>
      <c r="I88" s="411"/>
      <c r="J88" s="414"/>
      <c r="K88" s="414"/>
      <c r="L88" s="414"/>
      <c r="M88" s="409"/>
      <c r="N88" s="633"/>
      <c r="O88" s="633"/>
      <c r="P88" s="633"/>
      <c r="T88" s="526"/>
    </row>
    <row r="89" spans="1:20">
      <c r="A89" s="406"/>
      <c r="B89" s="411"/>
      <c r="C89" s="411"/>
      <c r="D89" s="411"/>
      <c r="E89" s="411"/>
      <c r="F89" s="411"/>
      <c r="G89" s="411"/>
      <c r="H89" s="411"/>
      <c r="I89" s="411"/>
      <c r="J89" s="414"/>
      <c r="K89" s="414"/>
      <c r="L89" s="414"/>
      <c r="M89" s="409"/>
      <c r="N89" s="633"/>
      <c r="O89" s="633"/>
      <c r="P89" s="633"/>
      <c r="T89" s="526"/>
    </row>
    <row r="90" spans="1:20">
      <c r="A90" s="406"/>
      <c r="B90" s="481" t="s">
        <v>112</v>
      </c>
      <c r="C90" s="482"/>
      <c r="D90" s="483"/>
      <c r="E90" s="411"/>
      <c r="F90" s="411"/>
      <c r="G90" s="411"/>
      <c r="H90" s="411"/>
      <c r="I90" s="411"/>
      <c r="J90" s="414"/>
      <c r="K90" s="414"/>
      <c r="L90" s="414"/>
      <c r="M90" s="409"/>
      <c r="N90" s="633"/>
      <c r="O90" s="633"/>
      <c r="P90" s="633"/>
      <c r="T90" s="526"/>
    </row>
    <row r="91" spans="1:20">
      <c r="A91" s="406"/>
      <c r="B91" s="830" t="s">
        <v>240</v>
      </c>
      <c r="C91" s="828">
        <f>21336000*1.05</f>
        <v>22402800</v>
      </c>
      <c r="D91" s="692" t="s">
        <v>33</v>
      </c>
      <c r="E91" s="411"/>
      <c r="F91" s="411"/>
      <c r="G91" s="411"/>
      <c r="H91" s="411"/>
      <c r="I91" s="411"/>
      <c r="J91" s="414"/>
      <c r="K91" s="414"/>
      <c r="L91" s="414"/>
      <c r="M91" s="409"/>
      <c r="N91" s="633"/>
      <c r="O91" s="633"/>
      <c r="P91" s="633"/>
      <c r="T91" s="526"/>
    </row>
    <row r="92" spans="1:20">
      <c r="A92" s="406"/>
      <c r="B92" s="446" t="s">
        <v>137</v>
      </c>
      <c r="C92" s="693">
        <f>C91/C72</f>
        <v>9.2968391930835761</v>
      </c>
      <c r="D92" s="471" t="s">
        <v>206</v>
      </c>
      <c r="E92" s="411"/>
      <c r="F92" s="411"/>
      <c r="G92" s="411"/>
      <c r="H92" s="411"/>
      <c r="I92" s="411"/>
      <c r="J92" s="414"/>
      <c r="K92" s="414"/>
      <c r="L92" s="414"/>
      <c r="M92" s="409"/>
      <c r="N92" s="633"/>
      <c r="O92" s="633"/>
      <c r="P92" s="633"/>
      <c r="T92" s="526"/>
    </row>
    <row r="93" spans="1:20">
      <c r="A93" s="406"/>
      <c r="B93" s="690" t="s">
        <v>32</v>
      </c>
      <c r="C93" s="694">
        <f>C92/(($C$14/100)*1000)</f>
        <v>4.5350435088212564E-2</v>
      </c>
      <c r="D93" s="691" t="s">
        <v>3</v>
      </c>
      <c r="E93" s="411"/>
      <c r="F93" s="411"/>
      <c r="G93" s="411"/>
      <c r="H93" s="411"/>
      <c r="I93" s="411"/>
      <c r="J93" s="414"/>
      <c r="K93" s="414"/>
      <c r="L93" s="414"/>
      <c r="M93" s="409"/>
      <c r="N93" s="633"/>
      <c r="O93" s="633"/>
      <c r="P93" s="633"/>
      <c r="T93" s="526"/>
    </row>
    <row r="94" spans="1:20">
      <c r="A94" s="406"/>
      <c r="B94" s="411"/>
      <c r="C94" s="411"/>
      <c r="D94" s="411"/>
      <c r="E94" s="411"/>
      <c r="F94" s="411"/>
      <c r="G94" s="411"/>
      <c r="H94" s="411"/>
      <c r="I94" s="744"/>
      <c r="J94" s="414"/>
      <c r="K94" s="414"/>
      <c r="L94" s="414"/>
      <c r="M94" s="409"/>
      <c r="N94" s="633"/>
      <c r="O94" s="633"/>
      <c r="P94" s="633"/>
      <c r="T94" s="526"/>
    </row>
    <row r="95" spans="1:20">
      <c r="A95" s="406"/>
      <c r="B95" s="695" t="s">
        <v>82</v>
      </c>
      <c r="C95" s="696"/>
      <c r="D95" s="697"/>
      <c r="E95" s="411"/>
      <c r="F95" s="411"/>
      <c r="G95" s="411"/>
      <c r="H95" s="411"/>
      <c r="I95" s="745"/>
      <c r="J95" s="414"/>
      <c r="K95" s="414"/>
      <c r="L95" s="414"/>
      <c r="M95" s="409"/>
      <c r="N95" s="633"/>
      <c r="O95" s="633"/>
      <c r="P95" s="633"/>
      <c r="T95" s="526"/>
    </row>
    <row r="96" spans="1:20">
      <c r="A96" s="406"/>
      <c r="B96" s="698" t="s">
        <v>240</v>
      </c>
      <c r="C96" s="829">
        <v>10287000</v>
      </c>
      <c r="D96" s="699" t="s">
        <v>33</v>
      </c>
      <c r="E96" s="411"/>
      <c r="F96" s="411"/>
      <c r="G96" s="411"/>
      <c r="H96" s="411"/>
      <c r="I96" s="411"/>
      <c r="J96" s="414"/>
      <c r="K96" s="414"/>
      <c r="L96" s="414"/>
      <c r="M96" s="409"/>
      <c r="N96" s="633"/>
      <c r="O96" s="633"/>
      <c r="P96" s="633"/>
      <c r="T96" s="526"/>
    </row>
    <row r="97" spans="1:20">
      <c r="A97" s="406"/>
      <c r="B97" s="576" t="s">
        <v>137</v>
      </c>
      <c r="C97" s="574">
        <f>C96/C72</f>
        <v>4.2689567723342954</v>
      </c>
      <c r="D97" s="589" t="s">
        <v>206</v>
      </c>
      <c r="E97" s="411"/>
      <c r="F97" s="411"/>
      <c r="G97" s="411"/>
      <c r="H97" s="411"/>
      <c r="I97" s="411"/>
      <c r="J97" s="414"/>
      <c r="K97" s="414"/>
      <c r="L97" s="414"/>
      <c r="M97" s="409"/>
      <c r="N97" s="633"/>
      <c r="O97" s="633"/>
      <c r="P97" s="633"/>
      <c r="T97" s="526"/>
    </row>
    <row r="98" spans="1:20">
      <c r="A98" s="406"/>
      <c r="B98" s="700" t="s">
        <v>32</v>
      </c>
      <c r="C98" s="701">
        <f>C97/(($C$14/100)*1000)</f>
        <v>2.0824179377240466E-2</v>
      </c>
      <c r="D98" s="702" t="s">
        <v>3</v>
      </c>
      <c r="E98" s="411"/>
      <c r="F98" s="411"/>
      <c r="G98" s="411"/>
      <c r="H98" s="411"/>
      <c r="I98" s="744"/>
      <c r="J98" s="414"/>
      <c r="K98" s="414"/>
      <c r="L98" s="414"/>
      <c r="M98" s="409"/>
      <c r="N98" s="633"/>
      <c r="O98" s="633"/>
      <c r="P98" s="633"/>
      <c r="T98" s="526"/>
    </row>
    <row r="99" spans="1:20">
      <c r="A99" s="406"/>
      <c r="G99" s="728"/>
      <c r="J99" s="414"/>
      <c r="T99" s="526"/>
    </row>
    <row r="100" spans="1:20">
      <c r="A100" s="406"/>
      <c r="B100" s="478" t="s">
        <v>37</v>
      </c>
      <c r="C100" s="479"/>
      <c r="D100" s="480"/>
      <c r="G100" s="728"/>
      <c r="T100" s="526"/>
    </row>
    <row r="101" spans="1:20">
      <c r="A101" s="406"/>
      <c r="B101" s="458" t="s">
        <v>90</v>
      </c>
      <c r="C101" s="472">
        <v>347</v>
      </c>
      <c r="D101" s="473" t="s">
        <v>24</v>
      </c>
      <c r="G101" s="728"/>
      <c r="T101" s="526"/>
    </row>
    <row r="102" spans="1:20">
      <c r="A102" s="406"/>
      <c r="B102" s="458" t="s">
        <v>130</v>
      </c>
      <c r="C102" s="472">
        <v>14.4</v>
      </c>
      <c r="D102" s="473" t="s">
        <v>31</v>
      </c>
      <c r="T102" s="526"/>
    </row>
    <row r="103" spans="1:20">
      <c r="A103" s="406"/>
      <c r="B103" s="458" t="s">
        <v>52</v>
      </c>
      <c r="C103" s="472">
        <f>1000*C102/100*0.156^2</f>
        <v>3.5043839999999999</v>
      </c>
      <c r="D103" s="473" t="s">
        <v>4</v>
      </c>
      <c r="T103" s="526"/>
    </row>
    <row r="104" spans="1:20">
      <c r="A104" s="406"/>
      <c r="B104" s="458" t="s">
        <v>30</v>
      </c>
      <c r="C104" s="636">
        <f>C101*10^6/(C102/100*1000)</f>
        <v>2409722.2222222215</v>
      </c>
      <c r="D104" s="473" t="s">
        <v>34</v>
      </c>
      <c r="T104" s="526"/>
    </row>
    <row r="105" spans="1:20">
      <c r="A105" s="406"/>
      <c r="B105" s="458" t="s">
        <v>91</v>
      </c>
      <c r="C105" s="593">
        <f>360*0.85</f>
        <v>306</v>
      </c>
      <c r="D105" s="473" t="s">
        <v>95</v>
      </c>
      <c r="F105" s="402"/>
      <c r="T105" s="526"/>
    </row>
    <row r="106" spans="1:20">
      <c r="A106" s="406"/>
      <c r="B106" s="458" t="s">
        <v>92</v>
      </c>
      <c r="C106" s="593">
        <f>150*0.6</f>
        <v>90</v>
      </c>
      <c r="D106" s="473" t="s">
        <v>95</v>
      </c>
      <c r="F106" s="402"/>
      <c r="T106" s="526"/>
    </row>
    <row r="107" spans="1:20">
      <c r="A107" s="406"/>
      <c r="B107" s="458" t="s">
        <v>93</v>
      </c>
      <c r="C107" s="593">
        <f>250*0.6</f>
        <v>150</v>
      </c>
      <c r="D107" s="473" t="s">
        <v>95</v>
      </c>
      <c r="T107" s="526"/>
    </row>
    <row r="108" spans="1:20">
      <c r="A108" s="406"/>
      <c r="B108" s="458" t="s">
        <v>94</v>
      </c>
      <c r="C108" s="593">
        <f>250*0.6</f>
        <v>150</v>
      </c>
      <c r="D108" s="473" t="s">
        <v>95</v>
      </c>
      <c r="L108" s="402"/>
      <c r="T108" s="526"/>
    </row>
    <row r="109" spans="1:20">
      <c r="A109" s="406"/>
      <c r="B109" s="458" t="s">
        <v>207</v>
      </c>
      <c r="C109" s="472">
        <f>SUM(C105:C108)/C101</f>
        <v>2.005763688760807</v>
      </c>
      <c r="D109" s="785" t="s">
        <v>210</v>
      </c>
      <c r="L109" s="402"/>
      <c r="T109" s="526"/>
    </row>
    <row r="110" spans="1:20">
      <c r="A110" s="406"/>
      <c r="B110" s="458" t="s">
        <v>96</v>
      </c>
      <c r="C110" s="472">
        <f>44*51</f>
        <v>2244</v>
      </c>
      <c r="D110" s="473" t="s">
        <v>97</v>
      </c>
      <c r="T110" s="526"/>
    </row>
    <row r="111" spans="1:20">
      <c r="A111" s="406"/>
      <c r="B111" s="458" t="s">
        <v>102</v>
      </c>
      <c r="C111" s="472">
        <f>(C105+C106)*C110/C104</f>
        <v>0.36876615561959664</v>
      </c>
      <c r="D111" s="473" t="s">
        <v>98</v>
      </c>
      <c r="T111" s="526"/>
    </row>
    <row r="112" spans="1:20">
      <c r="A112" s="406"/>
      <c r="B112" s="458" t="s">
        <v>103</v>
      </c>
      <c r="C112" s="472">
        <f>C107*C110/C104</f>
        <v>0.13968414985590782</v>
      </c>
      <c r="D112" s="473" t="s">
        <v>98</v>
      </c>
      <c r="T112" s="526"/>
    </row>
    <row r="113" spans="1:20">
      <c r="A113" s="406"/>
      <c r="B113" s="458" t="s">
        <v>104</v>
      </c>
      <c r="C113" s="472">
        <f>C108*C110/C104</f>
        <v>0.13968414985590782</v>
      </c>
      <c r="D113" s="473" t="s">
        <v>98</v>
      </c>
      <c r="T113" s="526"/>
    </row>
    <row r="114" spans="1:20">
      <c r="A114" s="406"/>
      <c r="B114" s="458" t="s">
        <v>99</v>
      </c>
      <c r="C114" s="472">
        <f>C111*C18</f>
        <v>9.0393803896253626</v>
      </c>
      <c r="D114" s="473" t="s">
        <v>35</v>
      </c>
      <c r="T114" s="526"/>
    </row>
    <row r="115" spans="1:20">
      <c r="A115" s="406"/>
      <c r="B115" s="458" t="s">
        <v>100</v>
      </c>
      <c r="C115" s="472">
        <f>C112*C18</f>
        <v>3.4240077233429402</v>
      </c>
      <c r="D115" s="473" t="s">
        <v>35</v>
      </c>
      <c r="T115" s="526"/>
    </row>
    <row r="116" spans="1:20">
      <c r="A116" s="406"/>
      <c r="B116" s="458" t="s">
        <v>101</v>
      </c>
      <c r="C116" s="472">
        <f>C113*C18</f>
        <v>3.4240077233429402</v>
      </c>
      <c r="D116" s="473" t="s">
        <v>35</v>
      </c>
      <c r="T116" s="526"/>
    </row>
    <row r="117" spans="1:20">
      <c r="A117" s="406"/>
      <c r="B117" s="458" t="s">
        <v>140</v>
      </c>
      <c r="C117" s="472">
        <f>1000*C14/100</f>
        <v>205</v>
      </c>
      <c r="D117" s="473" t="s">
        <v>105</v>
      </c>
      <c r="T117" s="526"/>
    </row>
    <row r="118" spans="1:20">
      <c r="A118" s="406"/>
      <c r="B118" s="594" t="s">
        <v>106</v>
      </c>
      <c r="C118" s="599">
        <f>C114/C117</f>
        <v>4.4094538485977379E-2</v>
      </c>
      <c r="D118" s="595" t="s">
        <v>3</v>
      </c>
      <c r="T118" s="526"/>
    </row>
    <row r="119" spans="1:20">
      <c r="A119" s="406"/>
      <c r="B119" s="594" t="s">
        <v>107</v>
      </c>
      <c r="C119" s="599">
        <f>C115/C117</f>
        <v>1.6702476699233856E-2</v>
      </c>
      <c r="D119" s="595" t="s">
        <v>3</v>
      </c>
      <c r="T119" s="526"/>
    </row>
    <row r="120" spans="1:20">
      <c r="A120" s="406"/>
      <c r="B120" s="594" t="s">
        <v>108</v>
      </c>
      <c r="C120" s="599">
        <f>C116/C117</f>
        <v>1.6702476699233856E-2</v>
      </c>
      <c r="D120" s="595" t="s">
        <v>3</v>
      </c>
      <c r="T120" s="526"/>
    </row>
    <row r="121" spans="1:20">
      <c r="A121" s="406"/>
      <c r="B121" s="527" t="s">
        <v>53</v>
      </c>
      <c r="C121" s="600">
        <f>SUM(C118:C120)</f>
        <v>7.749949188444509E-2</v>
      </c>
      <c r="D121" s="528" t="s">
        <v>3</v>
      </c>
      <c r="F121" s="404"/>
      <c r="H121" s="404"/>
      <c r="T121" s="526"/>
    </row>
    <row r="122" spans="1:20">
      <c r="A122" s="406"/>
      <c r="T122" s="526"/>
    </row>
    <row r="123" spans="1:20">
      <c r="A123" s="406"/>
      <c r="B123" s="475" t="s">
        <v>28</v>
      </c>
      <c r="C123" s="476"/>
      <c r="D123" s="477"/>
      <c r="T123" s="526"/>
    </row>
    <row r="124" spans="1:20">
      <c r="A124" s="406"/>
      <c r="B124" s="441" t="s">
        <v>130</v>
      </c>
      <c r="C124" s="784">
        <v>14.4</v>
      </c>
      <c r="D124" s="474" t="s">
        <v>1</v>
      </c>
      <c r="T124" s="526"/>
    </row>
    <row r="125" spans="1:20">
      <c r="A125" s="406"/>
      <c r="B125" s="441" t="s">
        <v>212</v>
      </c>
      <c r="C125" s="784">
        <v>25.9</v>
      </c>
      <c r="D125" s="474" t="s">
        <v>86</v>
      </c>
      <c r="T125" s="526"/>
    </row>
    <row r="126" spans="1:20">
      <c r="A126" s="406"/>
      <c r="B126" s="441" t="s">
        <v>212</v>
      </c>
      <c r="C126" s="570">
        <f>C125*C66*C54*(1/C57)</f>
        <v>5.7137857915742794E-2</v>
      </c>
      <c r="D126" s="474" t="s">
        <v>25</v>
      </c>
      <c r="T126" s="526"/>
    </row>
    <row r="127" spans="1:20">
      <c r="A127" s="406"/>
      <c r="B127" s="441" t="s">
        <v>213</v>
      </c>
      <c r="C127" s="570">
        <v>0.2</v>
      </c>
      <c r="D127" s="474" t="s">
        <v>25</v>
      </c>
      <c r="E127" s="402"/>
      <c r="T127" s="526"/>
    </row>
    <row r="128" spans="1:20">
      <c r="A128" s="406"/>
      <c r="B128" s="441" t="s">
        <v>214</v>
      </c>
      <c r="C128" s="570">
        <v>0.34</v>
      </c>
      <c r="D128" s="474" t="s">
        <v>25</v>
      </c>
      <c r="E128" s="402"/>
      <c r="T128" s="526"/>
    </row>
    <row r="129" spans="1:20">
      <c r="A129" s="406"/>
      <c r="B129" s="441" t="s">
        <v>215</v>
      </c>
      <c r="C129" s="570">
        <v>0.05</v>
      </c>
      <c r="D129" s="474" t="s">
        <v>25</v>
      </c>
      <c r="E129" s="402"/>
      <c r="T129" s="526"/>
    </row>
    <row r="130" spans="1:20">
      <c r="A130" s="406"/>
      <c r="B130" s="596" t="s">
        <v>87</v>
      </c>
      <c r="C130" s="597">
        <f>C19*(C126+C127)*(C124/C14)</f>
        <v>1.6256129944331836E-2</v>
      </c>
      <c r="D130" s="598" t="s">
        <v>0</v>
      </c>
      <c r="T130" s="526"/>
    </row>
    <row r="131" spans="1:20">
      <c r="A131" s="406"/>
      <c r="B131" s="596" t="s">
        <v>89</v>
      </c>
      <c r="C131" s="597">
        <f>C19*C128*(C124/C14)</f>
        <v>2.1494634146341469E-2</v>
      </c>
      <c r="D131" s="598" t="s">
        <v>0</v>
      </c>
      <c r="T131" s="526"/>
    </row>
    <row r="132" spans="1:20">
      <c r="A132" s="406"/>
      <c r="B132" s="596" t="s">
        <v>141</v>
      </c>
      <c r="C132" s="597">
        <f>C19*C129*(C124/C14)</f>
        <v>3.1609756097560975E-3</v>
      </c>
      <c r="D132" s="598" t="s">
        <v>0</v>
      </c>
      <c r="T132" s="526"/>
    </row>
    <row r="133" spans="1:20">
      <c r="A133" s="406"/>
      <c r="B133" s="529" t="s">
        <v>88</v>
      </c>
      <c r="C133" s="590">
        <f>SUM(C130:C132)</f>
        <v>4.0911739700429404E-2</v>
      </c>
      <c r="D133" s="530" t="s">
        <v>0</v>
      </c>
      <c r="T133" s="526"/>
    </row>
    <row r="134" spans="1:20">
      <c r="A134" s="406"/>
      <c r="F134" s="404"/>
      <c r="T134" s="526"/>
    </row>
    <row r="135" spans="1:20">
      <c r="A135" s="406"/>
      <c r="B135" s="501" t="s">
        <v>38</v>
      </c>
      <c r="C135" s="502"/>
      <c r="D135" s="503"/>
      <c r="T135" s="526"/>
    </row>
    <row r="136" spans="1:20">
      <c r="A136" s="406"/>
      <c r="B136" s="465" t="s">
        <v>113</v>
      </c>
      <c r="C136" s="500">
        <v>0.95</v>
      </c>
      <c r="D136" s="499" t="s">
        <v>31</v>
      </c>
      <c r="T136" s="526"/>
    </row>
    <row r="137" spans="1:20">
      <c r="A137" s="406"/>
      <c r="B137" s="465" t="s">
        <v>114</v>
      </c>
      <c r="C137" s="500">
        <f>0.965*1</f>
        <v>0.96499999999999997</v>
      </c>
      <c r="D137" s="499" t="s">
        <v>31</v>
      </c>
      <c r="T137" s="526"/>
    </row>
    <row r="138" spans="1:20">
      <c r="A138" s="406"/>
      <c r="B138" s="465" t="s">
        <v>115</v>
      </c>
      <c r="C138" s="500">
        <f>0.98*1</f>
        <v>0.98</v>
      </c>
      <c r="D138" s="499" t="s">
        <v>31</v>
      </c>
      <c r="T138" s="526"/>
    </row>
    <row r="139" spans="1:20">
      <c r="A139" s="406"/>
      <c r="B139" s="465" t="s">
        <v>123</v>
      </c>
      <c r="C139" s="500">
        <v>1</v>
      </c>
      <c r="D139" s="499" t="s">
        <v>31</v>
      </c>
      <c r="T139" s="526"/>
    </row>
    <row r="140" spans="1:20">
      <c r="A140" s="406"/>
      <c r="B140" s="465" t="s">
        <v>116</v>
      </c>
      <c r="C140" s="500">
        <f>(J31+J32+J35+J34+J28+J29+J30)</f>
        <v>0.26789473453659696</v>
      </c>
      <c r="D140" s="499" t="s">
        <v>3</v>
      </c>
      <c r="T140" s="526"/>
    </row>
    <row r="141" spans="1:20">
      <c r="A141" s="406"/>
      <c r="B141" s="465" t="s">
        <v>117</v>
      </c>
      <c r="C141" s="500">
        <f>C140+(K31+K32+K33+K40+K45+K29+K30)</f>
        <v>0.44910890067163645</v>
      </c>
      <c r="D141" s="499" t="s">
        <v>3</v>
      </c>
      <c r="T141" s="526"/>
    </row>
    <row r="142" spans="1:20">
      <c r="A142" s="406"/>
      <c r="B142" s="465" t="s">
        <v>118</v>
      </c>
      <c r="C142" s="500">
        <f>C141+(L31+L32+L36+L37+L38+L39+L41+L43+L44+L29+L30)</f>
        <v>0.6988482842584034</v>
      </c>
      <c r="D142" s="499" t="s">
        <v>3</v>
      </c>
      <c r="T142" s="526"/>
    </row>
    <row r="143" spans="1:20">
      <c r="A143" s="406"/>
      <c r="B143" s="465" t="s">
        <v>124</v>
      </c>
      <c r="C143" s="500">
        <f>SUM(H28,H30:H41,H43:H45)+(H46+H47)+H29</f>
        <v>0.6988482842584034</v>
      </c>
      <c r="D143" s="499" t="s">
        <v>3</v>
      </c>
      <c r="T143" s="526"/>
    </row>
    <row r="144" spans="1:20">
      <c r="A144" s="406"/>
      <c r="B144" s="631" t="s">
        <v>119</v>
      </c>
      <c r="C144" s="624">
        <f>C140/C136-C140</f>
        <v>1.409972287034722E-2</v>
      </c>
      <c r="D144" s="632" t="s">
        <v>3</v>
      </c>
      <c r="T144" s="526"/>
    </row>
    <row r="145" spans="1:20">
      <c r="A145" s="406"/>
      <c r="B145" s="631" t="s">
        <v>120</v>
      </c>
      <c r="C145" s="624">
        <f>C141/C137-C141</f>
        <v>1.6288923858556792E-2</v>
      </c>
      <c r="D145" s="632" t="s">
        <v>3</v>
      </c>
      <c r="T145" s="526"/>
    </row>
    <row r="146" spans="1:20">
      <c r="A146" s="406"/>
      <c r="B146" s="631" t="s">
        <v>121</v>
      </c>
      <c r="C146" s="624">
        <f>C142/C138-C142</f>
        <v>1.4262209882824561E-2</v>
      </c>
      <c r="D146" s="632" t="s">
        <v>3</v>
      </c>
      <c r="T146" s="526"/>
    </row>
    <row r="147" spans="1:20">
      <c r="A147" s="406"/>
      <c r="B147" s="631" t="s">
        <v>125</v>
      </c>
      <c r="C147" s="624">
        <f>C143/C139-C143</f>
        <v>0</v>
      </c>
      <c r="D147" s="632" t="s">
        <v>3</v>
      </c>
      <c r="T147" s="526"/>
    </row>
    <row r="148" spans="1:20">
      <c r="A148" s="406"/>
      <c r="B148" s="534" t="s">
        <v>122</v>
      </c>
      <c r="C148" s="535">
        <f>SUM(C144:C147)</f>
        <v>4.4650856611728573E-2</v>
      </c>
      <c r="D148" s="536" t="s">
        <v>3</v>
      </c>
      <c r="T148" s="526"/>
    </row>
    <row r="149" spans="1:20">
      <c r="A149" s="406"/>
      <c r="T149" s="526"/>
    </row>
    <row r="150" spans="1:20">
      <c r="A150" s="406"/>
      <c r="B150" s="768" t="s">
        <v>29</v>
      </c>
      <c r="C150" s="769"/>
      <c r="D150" s="770"/>
      <c r="T150" s="526"/>
    </row>
    <row r="151" spans="1:20">
      <c r="A151" s="406"/>
      <c r="B151" s="771" t="s">
        <v>195</v>
      </c>
      <c r="C151" s="769">
        <f>0.15</f>
        <v>0.15</v>
      </c>
      <c r="D151" s="770" t="s">
        <v>35</v>
      </c>
      <c r="T151" s="526"/>
    </row>
    <row r="152" spans="1:20">
      <c r="A152" s="406"/>
      <c r="B152" s="790" t="s">
        <v>29</v>
      </c>
      <c r="C152" s="789">
        <f>3*C151*C56</f>
        <v>0.88593977528089884</v>
      </c>
      <c r="D152" s="791" t="s">
        <v>208</v>
      </c>
      <c r="T152" s="526"/>
    </row>
    <row r="153" spans="1:20">
      <c r="A153" s="406"/>
      <c r="B153" s="531" t="s">
        <v>209</v>
      </c>
      <c r="C153" s="532">
        <f>C152/C57</f>
        <v>2.1951219512195124E-3</v>
      </c>
      <c r="D153" s="533" t="s">
        <v>3</v>
      </c>
      <c r="T153" s="526"/>
    </row>
    <row r="154" spans="1:20">
      <c r="A154" s="406"/>
      <c r="B154" s="408"/>
      <c r="C154" s="720"/>
      <c r="D154" s="408"/>
      <c r="T154" s="526"/>
    </row>
    <row r="155" spans="1:20">
      <c r="A155" s="406"/>
      <c r="B155" s="729" t="s">
        <v>42</v>
      </c>
      <c r="C155" s="730"/>
      <c r="D155" s="731"/>
      <c r="T155" s="526"/>
    </row>
    <row r="156" spans="1:20">
      <c r="A156" s="406"/>
      <c r="B156" s="798" t="s">
        <v>228</v>
      </c>
      <c r="C156" s="799">
        <v>300</v>
      </c>
      <c r="D156" s="800" t="s">
        <v>17</v>
      </c>
      <c r="T156" s="526"/>
    </row>
    <row r="157" spans="1:20">
      <c r="A157" s="406"/>
      <c r="B157" s="736" t="s">
        <v>229</v>
      </c>
      <c r="C157" s="797">
        <v>0.22500000000000001</v>
      </c>
      <c r="D157" s="732" t="s">
        <v>188</v>
      </c>
      <c r="T157" s="526"/>
    </row>
    <row r="158" spans="1:20">
      <c r="A158" s="406"/>
      <c r="B158" s="801" t="s">
        <v>228</v>
      </c>
      <c r="C158" s="802">
        <f>C156*C157/1000</f>
        <v>6.7500000000000004E-2</v>
      </c>
      <c r="D158" s="803" t="s">
        <v>21</v>
      </c>
      <c r="T158" s="526"/>
    </row>
    <row r="159" spans="1:20">
      <c r="A159" s="406"/>
      <c r="B159" s="736" t="s">
        <v>230</v>
      </c>
      <c r="C159" s="797">
        <v>150</v>
      </c>
      <c r="D159" s="732" t="s">
        <v>17</v>
      </c>
      <c r="T159" s="526"/>
    </row>
    <row r="160" spans="1:20">
      <c r="A160" s="406"/>
      <c r="B160" s="736" t="s">
        <v>231</v>
      </c>
      <c r="C160" s="797">
        <v>1</v>
      </c>
      <c r="D160" s="732" t="s">
        <v>188</v>
      </c>
      <c r="T160" s="526"/>
    </row>
    <row r="161" spans="1:20">
      <c r="A161" s="406"/>
      <c r="B161" s="801" t="s">
        <v>230</v>
      </c>
      <c r="C161" s="802">
        <f>C159*C160/1000</f>
        <v>0.15</v>
      </c>
      <c r="D161" s="803" t="s">
        <v>21</v>
      </c>
      <c r="T161" s="526"/>
    </row>
    <row r="162" spans="1:20">
      <c r="A162" s="406"/>
      <c r="B162" s="786" t="s">
        <v>189</v>
      </c>
      <c r="C162" s="787">
        <f>C158+C161</f>
        <v>0.2175</v>
      </c>
      <c r="D162" s="788" t="s">
        <v>21</v>
      </c>
      <c r="T162" s="526"/>
    </row>
    <row r="163" spans="1:20">
      <c r="A163" s="406"/>
      <c r="T163" s="526"/>
    </row>
    <row r="164" spans="1:20">
      <c r="A164" s="406"/>
      <c r="B164" s="512" t="s">
        <v>66</v>
      </c>
      <c r="C164" s="513"/>
      <c r="D164" s="513"/>
      <c r="E164" s="513"/>
      <c r="F164" s="513"/>
      <c r="G164" s="898"/>
      <c r="H164" s="861"/>
      <c r="I164" s="861"/>
      <c r="J164" s="861"/>
      <c r="T164" s="526"/>
    </row>
    <row r="165" spans="1:20">
      <c r="A165" s="406"/>
      <c r="B165" s="507" t="s">
        <v>219</v>
      </c>
      <c r="C165" s="509">
        <v>60</v>
      </c>
      <c r="D165" s="509" t="s">
        <v>31</v>
      </c>
      <c r="E165" s="509"/>
      <c r="F165" s="509"/>
      <c r="G165" s="898"/>
      <c r="H165" s="861"/>
      <c r="I165" s="861"/>
      <c r="J165" s="861"/>
      <c r="T165" s="526"/>
    </row>
    <row r="166" spans="1:20">
      <c r="A166" s="406"/>
      <c r="B166" s="507" t="s">
        <v>220</v>
      </c>
      <c r="C166" s="509">
        <v>1.6</v>
      </c>
      <c r="D166" s="509" t="s">
        <v>127</v>
      </c>
      <c r="E166" s="509"/>
      <c r="F166" s="509"/>
      <c r="G166" s="898"/>
      <c r="H166" s="861"/>
      <c r="I166" s="861"/>
      <c r="J166" s="861"/>
      <c r="T166" s="526"/>
    </row>
    <row r="167" spans="1:20">
      <c r="A167" s="406"/>
      <c r="B167" s="507"/>
      <c r="C167" s="906" t="s">
        <v>260</v>
      </c>
      <c r="D167" s="904" t="s">
        <v>261</v>
      </c>
      <c r="E167" s="904" t="s">
        <v>8</v>
      </c>
      <c r="F167" s="509"/>
      <c r="G167" s="898"/>
      <c r="H167" s="861"/>
      <c r="I167" s="861"/>
      <c r="J167" s="861"/>
      <c r="T167" s="526"/>
    </row>
    <row r="168" spans="1:20">
      <c r="A168" s="406"/>
      <c r="B168" s="507" t="s">
        <v>216</v>
      </c>
      <c r="C168" s="901">
        <v>15</v>
      </c>
      <c r="D168" s="899">
        <f>(($C$56-$C$166)*2+(1.6*2+1*2))/(1.6*2+1*2)*C168</f>
        <v>17.127433016421783</v>
      </c>
      <c r="E168" s="899">
        <f>D168/$C$57</f>
        <v>4.2437200847505373E-2</v>
      </c>
      <c r="F168" s="509"/>
      <c r="G168" s="898"/>
      <c r="H168" s="861"/>
      <c r="I168" s="861"/>
      <c r="J168" s="861"/>
      <c r="T168" s="526"/>
    </row>
    <row r="169" spans="1:20">
      <c r="A169" s="406"/>
      <c r="B169" s="507" t="s">
        <v>217</v>
      </c>
      <c r="C169" s="901">
        <v>11.5</v>
      </c>
      <c r="D169" s="899">
        <f>C169*$C$56/$C$166</f>
        <v>14.150426966292136</v>
      </c>
      <c r="E169" s="899">
        <f t="shared" ref="E169:E173" si="4">D169/$C$57</f>
        <v>3.5060975609756101E-2</v>
      </c>
      <c r="F169" s="509"/>
      <c r="G169" s="898"/>
      <c r="H169" s="861"/>
      <c r="I169" s="861"/>
      <c r="J169" s="861"/>
      <c r="T169" s="526"/>
    </row>
    <row r="170" spans="1:20">
      <c r="A170" s="406"/>
      <c r="B170" s="507" t="s">
        <v>218</v>
      </c>
      <c r="C170" s="901">
        <v>9</v>
      </c>
      <c r="D170" s="899">
        <f>C170*$C$56/$C$166</f>
        <v>11.074247191011235</v>
      </c>
      <c r="E170" s="899">
        <f t="shared" si="4"/>
        <v>2.7439024390243903E-2</v>
      </c>
      <c r="F170" s="509"/>
      <c r="G170" s="898"/>
      <c r="H170" s="861"/>
      <c r="I170" s="861"/>
      <c r="J170" s="861"/>
      <c r="T170" s="526"/>
    </row>
    <row r="171" spans="1:20">
      <c r="A171" s="406"/>
      <c r="B171" s="507" t="s">
        <v>191</v>
      </c>
      <c r="C171" s="901">
        <v>17</v>
      </c>
      <c r="D171" s="899">
        <f>C171*$C$56/$C$166</f>
        <v>20.91802247191011</v>
      </c>
      <c r="E171" s="899">
        <f t="shared" si="4"/>
        <v>5.1829268292682924E-2</v>
      </c>
      <c r="F171" s="509"/>
      <c r="G171" s="898"/>
      <c r="H171" s="861"/>
      <c r="I171" s="861"/>
      <c r="J171" s="861"/>
      <c r="T171" s="526"/>
    </row>
    <row r="172" spans="1:20">
      <c r="A172" s="406"/>
      <c r="B172" s="507" t="s">
        <v>13</v>
      </c>
      <c r="C172" s="901">
        <v>10</v>
      </c>
      <c r="D172" s="899"/>
      <c r="E172" s="899">
        <v>0.04</v>
      </c>
      <c r="F172" s="509"/>
      <c r="G172" s="898"/>
      <c r="H172" s="861"/>
      <c r="I172" s="861"/>
      <c r="J172" s="861"/>
      <c r="T172" s="526"/>
    </row>
    <row r="173" spans="1:20">
      <c r="A173" s="406"/>
      <c r="B173" s="507" t="s">
        <v>14</v>
      </c>
      <c r="C173" s="901">
        <v>7.5</v>
      </c>
      <c r="D173" s="899">
        <f>C173*$C$56/$C$166</f>
        <v>9.2285393258426964</v>
      </c>
      <c r="E173" s="899">
        <f t="shared" si="4"/>
        <v>2.2865853658536588E-2</v>
      </c>
      <c r="F173" s="509"/>
      <c r="G173" s="898"/>
      <c r="H173" s="861"/>
      <c r="I173" s="861"/>
      <c r="J173" s="861"/>
      <c r="T173" s="526"/>
    </row>
    <row r="174" spans="1:20" s="897" customFormat="1">
      <c r="A174" s="898"/>
      <c r="B174" s="900"/>
      <c r="C174" s="901"/>
      <c r="D174" s="899"/>
      <c r="E174" s="899"/>
      <c r="F174" s="901"/>
      <c r="G174" s="898"/>
      <c r="H174" s="861"/>
      <c r="I174" s="861"/>
      <c r="J174" s="861"/>
      <c r="T174" s="902"/>
    </row>
    <row r="175" spans="1:20">
      <c r="A175" s="406"/>
      <c r="B175" s="507" t="s">
        <v>221</v>
      </c>
      <c r="C175" s="509">
        <v>4</v>
      </c>
      <c r="D175" s="505" t="s">
        <v>225</v>
      </c>
      <c r="E175" s="505"/>
      <c r="F175" s="509"/>
      <c r="G175" s="898"/>
      <c r="H175" s="861"/>
      <c r="I175" s="861"/>
      <c r="J175" s="861"/>
      <c r="T175" s="526"/>
    </row>
    <row r="176" spans="1:20">
      <c r="A176" s="406"/>
      <c r="B176" s="507" t="s">
        <v>222</v>
      </c>
      <c r="C176" s="509">
        <v>8000</v>
      </c>
      <c r="D176" s="505" t="s">
        <v>223</v>
      </c>
      <c r="E176" s="505"/>
      <c r="F176" s="509"/>
      <c r="G176" s="898"/>
      <c r="H176" s="861"/>
      <c r="I176" s="861"/>
      <c r="J176" s="861"/>
      <c r="T176" s="526"/>
    </row>
    <row r="177" spans="1:20">
      <c r="A177" s="406"/>
      <c r="B177" s="507" t="s">
        <v>224</v>
      </c>
      <c r="C177" s="509">
        <v>100</v>
      </c>
      <c r="D177" s="505" t="s">
        <v>2</v>
      </c>
      <c r="E177" s="505"/>
      <c r="F177" s="509"/>
      <c r="G177" s="898"/>
      <c r="H177" s="861"/>
      <c r="I177" s="861"/>
      <c r="J177" s="861"/>
      <c r="T177" s="526"/>
    </row>
    <row r="178" spans="1:20">
      <c r="A178" s="406"/>
      <c r="B178" s="510" t="s">
        <v>224</v>
      </c>
      <c r="C178" s="511">
        <f>C177*C175/C176</f>
        <v>0.05</v>
      </c>
      <c r="D178" s="792" t="s">
        <v>21</v>
      </c>
      <c r="E178" s="792"/>
      <c r="F178" s="511"/>
      <c r="G178" s="898"/>
      <c r="H178" s="861"/>
      <c r="I178" s="861"/>
      <c r="J178" s="861"/>
      <c r="T178" s="526"/>
    </row>
    <row r="179" spans="1:20">
      <c r="A179" s="406"/>
      <c r="T179" s="526"/>
    </row>
    <row r="180" spans="1:20">
      <c r="A180" s="406"/>
      <c r="B180" s="557" t="s">
        <v>70</v>
      </c>
      <c r="C180" s="558"/>
      <c r="D180" s="559"/>
      <c r="T180" s="526"/>
    </row>
    <row r="181" spans="1:20">
      <c r="A181" s="406"/>
      <c r="B181" s="551" t="s">
        <v>74</v>
      </c>
      <c r="C181" s="560">
        <v>141120</v>
      </c>
      <c r="D181" s="561" t="s">
        <v>211</v>
      </c>
      <c r="T181" s="526"/>
    </row>
    <row r="182" spans="1:20">
      <c r="A182" s="406"/>
      <c r="B182" s="551" t="s">
        <v>71</v>
      </c>
      <c r="C182" s="556">
        <f>C20</f>
        <v>0</v>
      </c>
      <c r="D182" s="561" t="s">
        <v>72</v>
      </c>
      <c r="T182" s="526"/>
    </row>
    <row r="183" spans="1:20">
      <c r="A183" s="406"/>
      <c r="B183" s="562" t="s">
        <v>5</v>
      </c>
      <c r="C183" s="580">
        <f>C182/C181</f>
        <v>0</v>
      </c>
      <c r="D183" s="563" t="s">
        <v>0</v>
      </c>
      <c r="T183" s="526"/>
    </row>
    <row r="184" spans="1:20">
      <c r="A184" s="406"/>
      <c r="T184" s="526"/>
    </row>
    <row r="185" spans="1:20">
      <c r="A185" s="406"/>
      <c r="B185" s="581" t="s">
        <v>76</v>
      </c>
      <c r="C185" s="582"/>
      <c r="D185" s="583"/>
      <c r="T185" s="526"/>
    </row>
    <row r="186" spans="1:20">
      <c r="A186" s="406"/>
      <c r="B186" s="584" t="s">
        <v>84</v>
      </c>
      <c r="C186" s="565">
        <f>IF(C20&lt;&gt;0,1,0)</f>
        <v>0</v>
      </c>
      <c r="D186" s="585" t="s">
        <v>31</v>
      </c>
      <c r="T186" s="526"/>
    </row>
    <row r="187" spans="1:20">
      <c r="A187" s="406"/>
      <c r="B187" s="586" t="s">
        <v>85</v>
      </c>
      <c r="C187" s="587">
        <f>C186*2.5/100*SUM(H28:H41,H43:H45,J42:L42)</f>
        <v>0</v>
      </c>
      <c r="D187" s="588" t="s">
        <v>0</v>
      </c>
      <c r="T187" s="526"/>
    </row>
    <row r="188" spans="1:20">
      <c r="A188" s="406"/>
      <c r="T188" s="526"/>
    </row>
    <row r="189" spans="1:20">
      <c r="A189" s="406"/>
      <c r="T189" s="526"/>
    </row>
    <row r="190" spans="1:20">
      <c r="A190" s="406"/>
      <c r="T190" s="526"/>
    </row>
    <row r="191" spans="1:20">
      <c r="A191" s="406"/>
      <c r="T191" s="526"/>
    </row>
    <row r="192" spans="1:20">
      <c r="T192" s="526"/>
    </row>
  </sheetData>
  <mergeCells count="2">
    <mergeCell ref="J26:M26"/>
    <mergeCell ref="N26:Q26"/>
  </mergeCell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dimension ref="A1:AA192"/>
  <sheetViews>
    <sheetView zoomScale="60" zoomScaleNormal="60" workbookViewId="0"/>
  </sheetViews>
  <sheetFormatPr defaultRowHeight="14.4"/>
  <cols>
    <col min="1" max="1" width="8.88671875" style="405"/>
    <col min="2" max="2" width="30.6640625" style="401" customWidth="1"/>
    <col min="3" max="6" width="19" style="401" customWidth="1"/>
    <col min="7" max="7" width="24.77734375" style="401" customWidth="1"/>
    <col min="8" max="19" width="19" style="401" customWidth="1"/>
    <col min="20" max="23" width="8.88671875" style="401"/>
    <col min="24" max="24" width="12.21875" style="401" customWidth="1"/>
    <col min="25" max="16384" width="8.88671875" style="401"/>
  </cols>
  <sheetData>
    <row r="1" spans="1:27" ht="31.2">
      <c r="A1" s="889" t="s">
        <v>183</v>
      </c>
    </row>
    <row r="2" spans="1:27">
      <c r="A2" s="890" t="s">
        <v>262</v>
      </c>
    </row>
    <row r="3" spans="1:27">
      <c r="A3" s="859" t="s">
        <v>56</v>
      </c>
    </row>
    <row r="4" spans="1:27" s="831" customFormat="1" ht="13.8" customHeight="1">
      <c r="A4" s="897" t="s">
        <v>259</v>
      </c>
    </row>
    <row r="5" spans="1:27">
      <c r="A5" s="859"/>
      <c r="X5" s="526"/>
      <c r="Y5" s="526"/>
      <c r="Z5" s="526"/>
    </row>
    <row r="6" spans="1:27">
      <c r="A6" s="859"/>
      <c r="X6" s="526"/>
      <c r="Y6" s="720"/>
      <c r="Z6" s="526"/>
    </row>
    <row r="7" spans="1:27">
      <c r="A7" s="401"/>
      <c r="H7" s="404"/>
      <c r="X7" s="526"/>
      <c r="Y7" s="720"/>
      <c r="Z7" s="526"/>
    </row>
    <row r="8" spans="1:27">
      <c r="A8" s="401"/>
      <c r="H8" s="404"/>
      <c r="T8" s="526"/>
      <c r="U8" s="526"/>
      <c r="X8" s="526"/>
      <c r="Y8" s="720"/>
      <c r="Z8" s="526"/>
    </row>
    <row r="9" spans="1:27">
      <c r="A9" s="401"/>
      <c r="H9" s="404"/>
      <c r="T9" s="526"/>
      <c r="U9" s="526"/>
      <c r="X9" s="526"/>
      <c r="Y9" s="720"/>
      <c r="Z9" s="526"/>
    </row>
    <row r="10" spans="1:27">
      <c r="H10" s="404"/>
      <c r="T10" s="526"/>
      <c r="U10" s="526"/>
      <c r="X10" s="526"/>
      <c r="Y10" s="720"/>
      <c r="Z10" s="526"/>
    </row>
    <row r="11" spans="1:27">
      <c r="H11" s="404"/>
      <c r="T11" s="526"/>
      <c r="U11" s="526"/>
      <c r="X11" s="526"/>
      <c r="Y11" s="720"/>
      <c r="Z11" s="526"/>
    </row>
    <row r="12" spans="1:27" ht="34.200000000000003" thickBot="1">
      <c r="B12" s="550" t="s">
        <v>41</v>
      </c>
      <c r="H12" s="404"/>
      <c r="T12" s="526"/>
      <c r="U12" s="526"/>
      <c r="X12" s="526"/>
      <c r="Y12" s="720"/>
      <c r="Z12" s="526"/>
    </row>
    <row r="13" spans="1:27" ht="15" thickBot="1">
      <c r="B13" s="421" t="s">
        <v>58</v>
      </c>
      <c r="C13" s="430" t="s">
        <v>51</v>
      </c>
      <c r="D13" s="431" t="s">
        <v>60</v>
      </c>
      <c r="H13" s="404"/>
      <c r="T13" s="526"/>
      <c r="U13" s="526"/>
      <c r="W13" s="526"/>
      <c r="X13" s="526"/>
      <c r="Y13" s="720"/>
      <c r="Z13" s="526"/>
      <c r="AA13" s="526"/>
    </row>
    <row r="14" spans="1:27">
      <c r="B14" s="415" t="s">
        <v>46</v>
      </c>
      <c r="C14" s="426">
        <v>20.5</v>
      </c>
      <c r="D14" s="432" t="s">
        <v>1</v>
      </c>
      <c r="E14" s="402"/>
      <c r="H14" s="404"/>
      <c r="T14" s="549"/>
      <c r="U14" s="549"/>
      <c r="W14" s="526"/>
      <c r="X14" s="526"/>
      <c r="Y14" s="720"/>
      <c r="Z14" s="526"/>
      <c r="AA14" s="526"/>
    </row>
    <row r="15" spans="1:27">
      <c r="B15" s="417" t="s">
        <v>16</v>
      </c>
      <c r="C15" s="405">
        <v>50</v>
      </c>
      <c r="D15" s="433" t="s">
        <v>241</v>
      </c>
      <c r="H15" s="404"/>
      <c r="L15" s="407"/>
      <c r="N15" s="402"/>
      <c r="T15" s="526"/>
      <c r="U15" s="526"/>
      <c r="W15" s="526"/>
      <c r="X15" s="526"/>
      <c r="Y15" s="720"/>
      <c r="Z15" s="526"/>
      <c r="AA15" s="526"/>
    </row>
    <row r="16" spans="1:27">
      <c r="B16" s="417" t="s">
        <v>50</v>
      </c>
      <c r="C16" s="405">
        <v>0.9</v>
      </c>
      <c r="D16" s="433" t="s">
        <v>31</v>
      </c>
      <c r="H16" s="404"/>
      <c r="L16" s="407"/>
      <c r="T16" s="526"/>
      <c r="U16" s="526"/>
      <c r="W16" s="526"/>
      <c r="X16" s="526"/>
      <c r="Y16" s="720"/>
      <c r="Z16" s="526"/>
      <c r="AA16" s="526"/>
    </row>
    <row r="17" spans="1:27">
      <c r="B17" s="417" t="s">
        <v>226</v>
      </c>
      <c r="C17" s="405">
        <v>25</v>
      </c>
      <c r="D17" s="433" t="s">
        <v>17</v>
      </c>
      <c r="E17" s="402"/>
      <c r="H17" s="404"/>
      <c r="T17" s="526"/>
      <c r="U17" s="526"/>
      <c r="W17" s="526"/>
      <c r="X17" s="526"/>
      <c r="Y17" s="720"/>
      <c r="Z17" s="526"/>
      <c r="AA17" s="526"/>
    </row>
    <row r="18" spans="1:27">
      <c r="B18" s="417" t="s">
        <v>22</v>
      </c>
      <c r="C18" s="523">
        <f>18.5*1.325</f>
        <v>24.512499999999999</v>
      </c>
      <c r="D18" s="433" t="s">
        <v>23</v>
      </c>
      <c r="H18" s="404"/>
      <c r="T18" s="526"/>
      <c r="U18" s="526"/>
      <c r="W18" s="526"/>
      <c r="X18" s="526"/>
      <c r="Y18" s="720"/>
      <c r="Z18" s="526"/>
      <c r="AA18" s="526"/>
    </row>
    <row r="19" spans="1:27" s="542" customFormat="1">
      <c r="A19" s="714"/>
      <c r="B19" s="715" t="s">
        <v>26</v>
      </c>
      <c r="C19" s="716">
        <v>0.09</v>
      </c>
      <c r="D19" s="717" t="s">
        <v>27</v>
      </c>
      <c r="E19" s="718"/>
      <c r="H19" s="404"/>
      <c r="T19" s="526"/>
      <c r="U19" s="526"/>
      <c r="W19" s="549"/>
      <c r="X19" s="526"/>
      <c r="Y19" s="721"/>
      <c r="Z19" s="549"/>
      <c r="AA19" s="549"/>
    </row>
    <row r="20" spans="1:27" ht="15" thickBot="1">
      <c r="B20" s="419" t="s">
        <v>71</v>
      </c>
      <c r="C20" s="772">
        <v>0</v>
      </c>
      <c r="D20" s="539" t="s">
        <v>72</v>
      </c>
      <c r="E20" s="402"/>
      <c r="H20" s="404"/>
      <c r="W20" s="526"/>
      <c r="X20" s="526"/>
      <c r="Y20" s="720"/>
      <c r="Z20" s="526"/>
      <c r="AA20" s="526"/>
    </row>
    <row r="21" spans="1:27">
      <c r="H21" s="404"/>
      <c r="N21" s="404"/>
      <c r="W21" s="526"/>
      <c r="X21" s="526"/>
      <c r="Y21" s="720"/>
      <c r="Z21" s="526"/>
      <c r="AA21" s="526"/>
    </row>
    <row r="22" spans="1:27">
      <c r="H22" s="404"/>
      <c r="N22" s="404"/>
      <c r="W22" s="526"/>
      <c r="X22" s="526"/>
      <c r="Z22" s="526"/>
      <c r="AA22" s="526"/>
    </row>
    <row r="23" spans="1:27" ht="34.200000000000003" thickBot="1">
      <c r="B23" s="550" t="s">
        <v>59</v>
      </c>
      <c r="W23" s="526"/>
      <c r="X23" s="526"/>
      <c r="Z23" s="526"/>
      <c r="AA23" s="526"/>
    </row>
    <row r="24" spans="1:27" ht="15" thickBot="1">
      <c r="B24" s="395" t="s">
        <v>80</v>
      </c>
      <c r="C24" s="396">
        <f>C66*1000*C54/C57*(1/(C136*C137*C138))</f>
        <v>0.61236167980220158</v>
      </c>
      <c r="D24" s="397" t="s">
        <v>79</v>
      </c>
      <c r="T24" s="526"/>
      <c r="U24" s="526"/>
      <c r="V24" s="526"/>
      <c r="W24" s="526"/>
      <c r="X24" s="526"/>
      <c r="Y24" s="526"/>
      <c r="Z24" s="526"/>
      <c r="AA24" s="526"/>
    </row>
    <row r="25" spans="1:27" ht="15" thickBot="1">
      <c r="T25" s="526"/>
      <c r="U25" s="526"/>
      <c r="V25" s="526"/>
      <c r="W25" s="526"/>
      <c r="X25" s="526"/>
      <c r="Y25" s="526"/>
      <c r="Z25" s="526"/>
      <c r="AA25" s="526"/>
    </row>
    <row r="26" spans="1:27" ht="29.4" thickBot="1">
      <c r="B26" s="423" t="s">
        <v>55</v>
      </c>
      <c r="J26" s="909" t="s">
        <v>109</v>
      </c>
      <c r="K26" s="910"/>
      <c r="L26" s="910"/>
      <c r="M26" s="911"/>
      <c r="N26" s="909" t="s">
        <v>111</v>
      </c>
      <c r="O26" s="910"/>
      <c r="P26" s="910"/>
      <c r="Q26" s="911"/>
      <c r="T26" s="526"/>
      <c r="U26" s="526"/>
      <c r="V26" s="526"/>
      <c r="W26" s="526"/>
      <c r="X26" s="526"/>
      <c r="Y26" s="526"/>
      <c r="Z26" s="526"/>
      <c r="AA26" s="526"/>
    </row>
    <row r="27" spans="1:27" ht="15" thickBot="1">
      <c r="A27" s="406"/>
      <c r="B27" s="428" t="s">
        <v>58</v>
      </c>
      <c r="C27" s="424" t="s">
        <v>9</v>
      </c>
      <c r="D27" s="427" t="s">
        <v>39</v>
      </c>
      <c r="E27" s="425" t="s">
        <v>40</v>
      </c>
      <c r="F27" s="425" t="s">
        <v>68</v>
      </c>
      <c r="G27" s="425" t="s">
        <v>65</v>
      </c>
      <c r="H27" s="545" t="s">
        <v>8</v>
      </c>
      <c r="I27" s="424" t="s">
        <v>69</v>
      </c>
      <c r="J27" s="605" t="s">
        <v>43</v>
      </c>
      <c r="K27" s="606" t="s">
        <v>83</v>
      </c>
      <c r="L27" s="606" t="s">
        <v>45</v>
      </c>
      <c r="M27" s="607" t="s">
        <v>75</v>
      </c>
      <c r="N27" s="761" t="s">
        <v>43</v>
      </c>
      <c r="O27" s="606" t="s">
        <v>83</v>
      </c>
      <c r="P27" s="606" t="s">
        <v>45</v>
      </c>
      <c r="Q27" s="607" t="s">
        <v>75</v>
      </c>
      <c r="T27" s="526"/>
      <c r="U27" s="526"/>
      <c r="V27" s="526"/>
      <c r="W27" s="526"/>
      <c r="X27" s="526"/>
      <c r="Y27" s="526"/>
      <c r="Z27" s="526"/>
      <c r="AA27" s="526"/>
    </row>
    <row r="28" spans="1:27">
      <c r="A28" s="406"/>
      <c r="B28" s="436" t="s">
        <v>36</v>
      </c>
      <c r="C28" s="773">
        <f>C67</f>
        <v>7.8720200000000004E-2</v>
      </c>
      <c r="D28" s="437"/>
      <c r="E28" s="438"/>
      <c r="F28" s="703">
        <v>1</v>
      </c>
      <c r="G28" s="515">
        <v>1</v>
      </c>
      <c r="H28" s="678">
        <f>C28*$C$54/$C$57*F28*G28</f>
        <v>1.4043428184281845E-2</v>
      </c>
      <c r="I28" s="675">
        <f>H28/$H$48*G28*F28</f>
        <v>2.2935459608831674E-2</v>
      </c>
      <c r="J28" s="610">
        <f>H28</f>
        <v>1.4043428184281845E-2</v>
      </c>
      <c r="K28" s="439"/>
      <c r="L28" s="439"/>
      <c r="M28" s="660"/>
      <c r="N28" s="762"/>
      <c r="O28" s="622"/>
      <c r="P28" s="622"/>
      <c r="Q28" s="623"/>
      <c r="T28" s="526"/>
      <c r="U28" s="526"/>
      <c r="V28" s="526"/>
      <c r="W28" s="526"/>
      <c r="X28" s="526"/>
      <c r="Y28" s="526"/>
      <c r="Z28" s="526"/>
      <c r="AA28" s="526"/>
    </row>
    <row r="29" spans="1:27">
      <c r="A29" s="406"/>
      <c r="B29" s="459" t="s">
        <v>192</v>
      </c>
      <c r="C29" s="460"/>
      <c r="D29" s="638" t="s">
        <v>110</v>
      </c>
      <c r="E29" s="616" t="s">
        <v>110</v>
      </c>
      <c r="F29" s="704">
        <v>1</v>
      </c>
      <c r="G29" s="516">
        <v>1</v>
      </c>
      <c r="H29" s="679">
        <f>SUM(J29:L29)</f>
        <v>0.14707789710615243</v>
      </c>
      <c r="I29" s="567">
        <f t="shared" ref="I29:I47" si="0">H29/$H$48</f>
        <v>0.24020482208223462</v>
      </c>
      <c r="J29" s="661">
        <f>H77*F29*G29+N29</f>
        <v>7.3132847885548052E-2</v>
      </c>
      <c r="K29" s="461">
        <f>H78*F29*G29+O29</f>
        <v>5.0870325826840632E-2</v>
      </c>
      <c r="L29" s="461">
        <f>H79*F29*G29+P29</f>
        <v>2.307472339376376E-2</v>
      </c>
      <c r="M29" s="662"/>
      <c r="N29" s="763"/>
      <c r="O29" s="639"/>
      <c r="P29" s="639"/>
      <c r="Q29" s="640"/>
      <c r="T29" s="526"/>
      <c r="U29" s="526"/>
      <c r="V29" s="526"/>
      <c r="W29" s="526"/>
      <c r="X29" s="526"/>
      <c r="Y29" s="526"/>
      <c r="Z29" s="526"/>
      <c r="AA29" s="526"/>
    </row>
    <row r="30" spans="1:27">
      <c r="A30" s="406"/>
      <c r="B30" s="641" t="s">
        <v>126</v>
      </c>
      <c r="C30" s="642"/>
      <c r="D30" s="638" t="s">
        <v>110</v>
      </c>
      <c r="E30" s="616" t="s">
        <v>110</v>
      </c>
      <c r="F30" s="705">
        <v>1</v>
      </c>
      <c r="G30" s="645">
        <f>C62</f>
        <v>0.90249999999999997</v>
      </c>
      <c r="H30" s="680">
        <f>SUM(J30:L30)</f>
        <v>3.7677807328256138E-2</v>
      </c>
      <c r="I30" s="676">
        <f t="shared" si="0"/>
        <v>6.1534677771469808E-2</v>
      </c>
      <c r="J30" s="663">
        <f>E85*F30*G30+N30</f>
        <v>1.7892002276664092E-2</v>
      </c>
      <c r="K30" s="643">
        <f>E86*F30*G30+O30</f>
        <v>1.3183866054403602E-2</v>
      </c>
      <c r="L30" s="643">
        <f>E87*F30*G30+P30</f>
        <v>6.6019389971884437E-3</v>
      </c>
      <c r="M30" s="664"/>
      <c r="N30" s="642"/>
      <c r="O30" s="644"/>
      <c r="P30" s="644"/>
      <c r="Q30" s="646"/>
      <c r="T30" s="526"/>
      <c r="U30" s="526"/>
      <c r="V30" s="526"/>
      <c r="W30" s="526"/>
      <c r="X30" s="526"/>
      <c r="Y30" s="526"/>
      <c r="Z30" s="526"/>
      <c r="AA30" s="526"/>
    </row>
    <row r="31" spans="1:27">
      <c r="A31" s="406"/>
      <c r="B31" s="455" t="s">
        <v>37</v>
      </c>
      <c r="C31" s="456"/>
      <c r="D31" s="638" t="s">
        <v>110</v>
      </c>
      <c r="E31" s="616" t="s">
        <v>110</v>
      </c>
      <c r="F31" s="706">
        <v>1</v>
      </c>
      <c r="G31" s="517">
        <v>1</v>
      </c>
      <c r="H31" s="681">
        <f>(SUM(J31:L31))</f>
        <v>7.749949188444509E-2</v>
      </c>
      <c r="I31" s="572">
        <f t="shared" si="0"/>
        <v>0.12657069502517385</v>
      </c>
      <c r="J31" s="548">
        <f>C118*F31*G31+N31</f>
        <v>4.4094538485977379E-2</v>
      </c>
      <c r="K31" s="457">
        <f>C119*F31*G31+O31</f>
        <v>1.6702476699233856E-2</v>
      </c>
      <c r="L31" s="457">
        <f>C120*F31*G31+P31</f>
        <v>1.6702476699233856E-2</v>
      </c>
      <c r="M31" s="601"/>
      <c r="N31" s="764"/>
      <c r="O31" s="457"/>
      <c r="P31" s="457"/>
      <c r="Q31" s="601"/>
      <c r="T31" s="526"/>
      <c r="U31" s="526"/>
      <c r="V31" s="526"/>
      <c r="W31" s="526"/>
      <c r="X31" s="526"/>
      <c r="Y31" s="526"/>
      <c r="Z31" s="526"/>
      <c r="AA31" s="526"/>
    </row>
    <row r="32" spans="1:27">
      <c r="A32" s="406"/>
      <c r="B32" s="440" t="s">
        <v>28</v>
      </c>
      <c r="C32" s="454"/>
      <c r="D32" s="638" t="s">
        <v>110</v>
      </c>
      <c r="E32" s="616" t="s">
        <v>110</v>
      </c>
      <c r="F32" s="707">
        <v>1</v>
      </c>
      <c r="G32" s="518">
        <v>1</v>
      </c>
      <c r="H32" s="682">
        <f>(SUM(J32:L32))</f>
        <v>2.8104170395716839E-2</v>
      </c>
      <c r="I32" s="571">
        <f t="shared" si="0"/>
        <v>4.5899196157255753E-2</v>
      </c>
      <c r="J32" s="591">
        <f>C130*F32*G32+N32</f>
        <v>3.4485606396192753E-3</v>
      </c>
      <c r="K32" s="442">
        <f>C131*F32*G32+O32</f>
        <v>2.1494634146341469E-2</v>
      </c>
      <c r="L32" s="442">
        <f>C132*F32*G32+P32</f>
        <v>3.1609756097560975E-3</v>
      </c>
      <c r="M32" s="592"/>
      <c r="N32" s="570"/>
      <c r="O32" s="442"/>
      <c r="P32" s="442"/>
      <c r="Q32" s="592"/>
      <c r="T32" s="526"/>
      <c r="U32" s="526"/>
      <c r="V32" s="526"/>
      <c r="W32" s="526"/>
      <c r="X32" s="526"/>
      <c r="Y32" s="526"/>
      <c r="Z32" s="526"/>
      <c r="AA32" s="526"/>
    </row>
    <row r="33" spans="1:27">
      <c r="A33" s="406"/>
      <c r="B33" s="733" t="s">
        <v>42</v>
      </c>
      <c r="C33" s="734">
        <f>C162</f>
        <v>0.2175</v>
      </c>
      <c r="D33" s="735"/>
      <c r="E33" s="736"/>
      <c r="F33" s="737">
        <v>1</v>
      </c>
      <c r="G33" s="738">
        <v>1</v>
      </c>
      <c r="H33" s="739">
        <f>C33*$C$54/$C$57*F33*G33</f>
        <v>3.8801294078029541E-2</v>
      </c>
      <c r="I33" s="740">
        <f t="shared" si="0"/>
        <v>6.3369534946822903E-2</v>
      </c>
      <c r="J33" s="741"/>
      <c r="K33" s="742">
        <f>H33</f>
        <v>3.8801294078029541E-2</v>
      </c>
      <c r="L33" s="742"/>
      <c r="M33" s="743"/>
      <c r="N33" s="753"/>
      <c r="O33" s="616"/>
      <c r="P33" s="617"/>
      <c r="Q33" s="618"/>
      <c r="T33" s="526"/>
      <c r="U33" s="526"/>
      <c r="V33" s="526"/>
      <c r="W33" s="526"/>
      <c r="X33" s="526"/>
      <c r="Y33" s="526"/>
      <c r="Z33" s="526"/>
      <c r="AA33" s="526"/>
    </row>
    <row r="34" spans="1:27">
      <c r="A34" s="406"/>
      <c r="B34" s="625" t="s">
        <v>82</v>
      </c>
      <c r="C34" s="573"/>
      <c r="D34" s="626"/>
      <c r="E34" s="576"/>
      <c r="F34" s="709">
        <v>0</v>
      </c>
      <c r="G34" s="627">
        <f>C62</f>
        <v>0.90249999999999997</v>
      </c>
      <c r="H34" s="684">
        <f>(C98)*F34*G34</f>
        <v>0</v>
      </c>
      <c r="I34" s="575">
        <f t="shared" si="0"/>
        <v>0</v>
      </c>
      <c r="J34" s="666">
        <f>H34</f>
        <v>0</v>
      </c>
      <c r="K34" s="628"/>
      <c r="L34" s="628"/>
      <c r="M34" s="667"/>
      <c r="N34" s="753"/>
      <c r="O34" s="617"/>
      <c r="P34" s="617"/>
      <c r="Q34" s="618"/>
      <c r="T34" s="526"/>
      <c r="U34" s="526"/>
      <c r="V34" s="526"/>
      <c r="W34" s="526"/>
      <c r="X34" s="526"/>
      <c r="Y34" s="526"/>
      <c r="Z34" s="526"/>
      <c r="AA34" s="526"/>
    </row>
    <row r="35" spans="1:27">
      <c r="A35" s="406"/>
      <c r="B35" s="443" t="s">
        <v>112</v>
      </c>
      <c r="C35" s="444"/>
      <c r="D35" s="445"/>
      <c r="E35" s="446"/>
      <c r="F35" s="447">
        <v>0</v>
      </c>
      <c r="G35" s="520">
        <f>C62</f>
        <v>0.90249999999999997</v>
      </c>
      <c r="H35" s="685">
        <f>(C93)*F35*G35</f>
        <v>0</v>
      </c>
      <c r="I35" s="677">
        <f t="shared" si="0"/>
        <v>0</v>
      </c>
      <c r="J35" s="602">
        <f>H35</f>
        <v>0</v>
      </c>
      <c r="K35" s="448"/>
      <c r="L35" s="448"/>
      <c r="M35" s="668"/>
      <c r="N35" s="765"/>
      <c r="O35" s="617"/>
      <c r="P35" s="617"/>
      <c r="Q35" s="618"/>
      <c r="T35" s="526"/>
      <c r="U35" s="526"/>
      <c r="V35" s="526"/>
      <c r="W35" s="526"/>
      <c r="X35" s="526"/>
      <c r="Y35" s="526"/>
      <c r="Z35" s="526"/>
      <c r="AA35" s="526"/>
    </row>
    <row r="36" spans="1:27">
      <c r="A36" s="406"/>
      <c r="B36" s="504" t="s">
        <v>15</v>
      </c>
      <c r="C36" s="505"/>
      <c r="D36" s="506"/>
      <c r="E36" s="507"/>
      <c r="F36" s="708">
        <v>1</v>
      </c>
      <c r="G36" s="519">
        <f>C62</f>
        <v>0.90249999999999997</v>
      </c>
      <c r="H36" s="683">
        <f>E171*F36*G36</f>
        <v>4.6775914634146334E-2</v>
      </c>
      <c r="I36" s="554">
        <f t="shared" si="0"/>
        <v>7.6393533450641843E-2</v>
      </c>
      <c r="J36" s="665"/>
      <c r="K36" s="508"/>
      <c r="L36" s="508">
        <f>H36</f>
        <v>4.6775914634146334E-2</v>
      </c>
      <c r="M36" s="603"/>
      <c r="N36" s="753"/>
      <c r="O36" s="617"/>
      <c r="P36" s="616"/>
      <c r="Q36" s="619"/>
      <c r="T36" s="526"/>
      <c r="U36" s="526"/>
      <c r="V36" s="526"/>
      <c r="W36" s="526"/>
      <c r="X36" s="526"/>
      <c r="Y36" s="526"/>
      <c r="Z36" s="526"/>
      <c r="AA36" s="526"/>
    </row>
    <row r="37" spans="1:27">
      <c r="A37" s="406"/>
      <c r="B37" s="504" t="s">
        <v>12</v>
      </c>
      <c r="C37" s="505"/>
      <c r="D37" s="506"/>
      <c r="E37" s="507"/>
      <c r="F37" s="708">
        <v>1</v>
      </c>
      <c r="G37" s="519">
        <f>C62</f>
        <v>0.90249999999999997</v>
      </c>
      <c r="H37" s="683">
        <f>E168*F37*G37</f>
        <v>3.8299573764873598E-2</v>
      </c>
      <c r="I37" s="554">
        <f t="shared" si="0"/>
        <v>6.2550134881089806E-2</v>
      </c>
      <c r="J37" s="665"/>
      <c r="K37" s="508"/>
      <c r="L37" s="508">
        <f>H37</f>
        <v>3.8299573764873598E-2</v>
      </c>
      <c r="M37" s="603"/>
      <c r="N37" s="753"/>
      <c r="O37" s="617"/>
      <c r="P37" s="616"/>
      <c r="Q37" s="619"/>
      <c r="T37" s="526"/>
      <c r="U37" s="526"/>
      <c r="V37" s="526"/>
      <c r="W37" s="526"/>
      <c r="X37" s="526"/>
      <c r="Y37" s="526"/>
      <c r="Z37" s="526"/>
      <c r="AA37" s="526"/>
    </row>
    <row r="38" spans="1:27">
      <c r="A38" s="406"/>
      <c r="B38" s="504" t="s">
        <v>10</v>
      </c>
      <c r="C38" s="505"/>
      <c r="D38" s="506"/>
      <c r="E38" s="507"/>
      <c r="F38" s="708">
        <v>1</v>
      </c>
      <c r="G38" s="519">
        <f>C62</f>
        <v>0.90249999999999997</v>
      </c>
      <c r="H38" s="683">
        <f>E170*F38*G38</f>
        <v>2.476371951219512E-2</v>
      </c>
      <c r="I38" s="554">
        <f t="shared" si="0"/>
        <v>4.0443635356222155E-2</v>
      </c>
      <c r="J38" s="665"/>
      <c r="K38" s="508"/>
      <c r="L38" s="508">
        <f>H38</f>
        <v>2.476371951219512E-2</v>
      </c>
      <c r="M38" s="603"/>
      <c r="N38" s="753"/>
      <c r="O38" s="617"/>
      <c r="P38" s="616"/>
      <c r="Q38" s="619"/>
      <c r="T38" s="526"/>
      <c r="U38" s="526"/>
      <c r="V38" s="526"/>
      <c r="W38" s="526"/>
      <c r="X38" s="526"/>
      <c r="Y38" s="526"/>
      <c r="Z38" s="526"/>
      <c r="AA38" s="526"/>
    </row>
    <row r="39" spans="1:27">
      <c r="A39" s="406"/>
      <c r="B39" s="504" t="s">
        <v>13</v>
      </c>
      <c r="C39" s="505"/>
      <c r="D39" s="506"/>
      <c r="E39" s="507"/>
      <c r="F39" s="708">
        <v>1</v>
      </c>
      <c r="G39" s="519">
        <f>C62</f>
        <v>0.90249999999999997</v>
      </c>
      <c r="H39" s="683">
        <f>E172*F39*G39</f>
        <v>3.61E-2</v>
      </c>
      <c r="I39" s="554">
        <f t="shared" si="0"/>
        <v>5.8957832874848307E-2</v>
      </c>
      <c r="J39" s="665"/>
      <c r="K39" s="508"/>
      <c r="L39" s="757">
        <f>H39</f>
        <v>3.61E-2</v>
      </c>
      <c r="M39" s="603"/>
      <c r="N39" s="753"/>
      <c r="O39" s="617"/>
      <c r="P39" s="616"/>
      <c r="Q39" s="619"/>
      <c r="R39" s="414"/>
      <c r="T39" s="526"/>
      <c r="U39" s="526"/>
      <c r="V39" s="526"/>
      <c r="W39" s="526"/>
      <c r="X39" s="526"/>
      <c r="Y39" s="526"/>
      <c r="Z39" s="526"/>
      <c r="AA39" s="526"/>
    </row>
    <row r="40" spans="1:27">
      <c r="A40" s="406"/>
      <c r="B40" s="504" t="s">
        <v>176</v>
      </c>
      <c r="C40" s="505">
        <v>0.18</v>
      </c>
      <c r="D40" s="506"/>
      <c r="E40" s="507"/>
      <c r="F40" s="708">
        <v>1</v>
      </c>
      <c r="G40" s="519">
        <v>1</v>
      </c>
      <c r="H40" s="683">
        <f>C40*$C$54/$C$57*F40*G40</f>
        <v>3.2111415788714098E-2</v>
      </c>
      <c r="I40" s="554">
        <f t="shared" si="0"/>
        <v>5.2443753059439636E-2</v>
      </c>
      <c r="J40" s="665"/>
      <c r="K40" s="508">
        <f>H40</f>
        <v>3.2111415788714098E-2</v>
      </c>
      <c r="L40" s="757"/>
      <c r="M40" s="603"/>
      <c r="N40" s="753"/>
      <c r="O40" s="616"/>
      <c r="P40" s="617"/>
      <c r="Q40" s="618"/>
      <c r="R40" s="414"/>
      <c r="T40" s="526"/>
      <c r="U40" s="526"/>
      <c r="V40" s="526"/>
      <c r="W40" s="526"/>
      <c r="X40" s="526"/>
      <c r="Y40" s="526"/>
      <c r="Z40" s="526"/>
      <c r="AA40" s="526"/>
    </row>
    <row r="41" spans="1:27">
      <c r="A41" s="406"/>
      <c r="B41" s="504" t="s">
        <v>11</v>
      </c>
      <c r="C41" s="505"/>
      <c r="D41" s="506"/>
      <c r="E41" s="507"/>
      <c r="F41" s="708">
        <v>1</v>
      </c>
      <c r="G41" s="519">
        <f>C62</f>
        <v>0.90249999999999997</v>
      </c>
      <c r="H41" s="683">
        <f>E169*F41*G41</f>
        <v>3.1642530487804882E-2</v>
      </c>
      <c r="I41" s="554">
        <f t="shared" si="0"/>
        <v>5.167797851072832E-2</v>
      </c>
      <c r="J41" s="665"/>
      <c r="K41" s="508"/>
      <c r="L41" s="757">
        <f>H41</f>
        <v>3.1642530487804882E-2</v>
      </c>
      <c r="M41" s="603"/>
      <c r="N41" s="753"/>
      <c r="O41" s="617"/>
      <c r="P41" s="616"/>
      <c r="Q41" s="619"/>
      <c r="R41" s="408"/>
      <c r="T41" s="526"/>
      <c r="U41" s="526"/>
      <c r="V41" s="526"/>
      <c r="W41" s="526"/>
      <c r="X41" s="526"/>
      <c r="Y41" s="526"/>
      <c r="Z41" s="526"/>
      <c r="AA41" s="526"/>
    </row>
    <row r="42" spans="1:27">
      <c r="A42" s="406"/>
      <c r="B42" s="463" t="s">
        <v>38</v>
      </c>
      <c r="C42" s="464"/>
      <c r="D42" s="617" t="s">
        <v>110</v>
      </c>
      <c r="E42" s="616" t="s">
        <v>110</v>
      </c>
      <c r="F42" s="710">
        <v>1</v>
      </c>
      <c r="G42" s="521">
        <v>1</v>
      </c>
      <c r="H42" s="686">
        <f>SUM(J42:M42)</f>
        <v>2.8737090022893041E-2</v>
      </c>
      <c r="I42" s="568">
        <f t="shared" si="0"/>
        <v>4.6932868445407158E-2</v>
      </c>
      <c r="J42" s="612">
        <f>C144*F42*G42+N42</f>
        <v>4.7199395094461027E-3</v>
      </c>
      <c r="K42" s="466">
        <f>C145*F42*G42+O42</f>
        <v>1.2107662203367398E-2</v>
      </c>
      <c r="L42" s="758">
        <f>C146*F42*G42+P42</f>
        <v>1.1909488310079541E-2</v>
      </c>
      <c r="M42" s="613">
        <f>C147*F42*G42+Q42</f>
        <v>0</v>
      </c>
      <c r="N42" s="766"/>
      <c r="O42" s="629"/>
      <c r="P42" s="629"/>
      <c r="Q42" s="630"/>
      <c r="R42" s="409"/>
      <c r="T42" s="526"/>
      <c r="U42" s="526"/>
      <c r="V42" s="526"/>
      <c r="W42" s="526"/>
      <c r="X42" s="526"/>
      <c r="Y42" s="526"/>
      <c r="Z42" s="526"/>
      <c r="AA42" s="526"/>
    </row>
    <row r="43" spans="1:27">
      <c r="A43" s="406"/>
      <c r="B43" s="504" t="s">
        <v>14</v>
      </c>
      <c r="C43" s="505"/>
      <c r="D43" s="507"/>
      <c r="E43" s="507"/>
      <c r="F43" s="708">
        <v>1</v>
      </c>
      <c r="G43" s="519">
        <f>C62</f>
        <v>0.90249999999999997</v>
      </c>
      <c r="H43" s="683">
        <f>E173*F43*G43</f>
        <v>2.0636432926829269E-2</v>
      </c>
      <c r="I43" s="554">
        <f t="shared" si="0"/>
        <v>3.3703029463518469E-2</v>
      </c>
      <c r="J43" s="665"/>
      <c r="K43" s="508"/>
      <c r="L43" s="757">
        <f>H43</f>
        <v>2.0636432926829269E-2</v>
      </c>
      <c r="M43" s="603"/>
      <c r="N43" s="753"/>
      <c r="O43" s="617"/>
      <c r="P43" s="616"/>
      <c r="Q43" s="619"/>
      <c r="R43" s="409"/>
      <c r="T43" s="526"/>
      <c r="U43" s="526"/>
      <c r="V43" s="526"/>
      <c r="W43" s="526"/>
      <c r="X43" s="526"/>
      <c r="Y43" s="526"/>
      <c r="Z43" s="526"/>
      <c r="AA43" s="526"/>
    </row>
    <row r="44" spans="1:27">
      <c r="A44" s="406"/>
      <c r="B44" s="449" t="s">
        <v>29</v>
      </c>
      <c r="C44" s="450"/>
      <c r="D44" s="453"/>
      <c r="E44" s="451"/>
      <c r="F44" s="756">
        <v>1</v>
      </c>
      <c r="G44" s="522">
        <f>C62</f>
        <v>0.90249999999999997</v>
      </c>
      <c r="H44" s="687">
        <f>$C$153*F44*G44</f>
        <v>1.98109756097561E-3</v>
      </c>
      <c r="I44" s="569">
        <f t="shared" si="0"/>
        <v>3.2354908284977731E-3</v>
      </c>
      <c r="J44" s="547"/>
      <c r="K44" s="452"/>
      <c r="L44" s="759">
        <f>H44</f>
        <v>1.98109756097561E-3</v>
      </c>
      <c r="M44" s="604"/>
      <c r="N44" s="753"/>
      <c r="O44" s="617"/>
      <c r="P44" s="616"/>
      <c r="Q44" s="619"/>
      <c r="R44" s="409"/>
      <c r="T44" s="526"/>
      <c r="U44" s="526"/>
      <c r="V44" s="526"/>
      <c r="W44" s="526"/>
      <c r="X44" s="526"/>
      <c r="Y44" s="526"/>
      <c r="Z44" s="526"/>
      <c r="AA44" s="526"/>
    </row>
    <row r="45" spans="1:27">
      <c r="A45" s="406"/>
      <c r="B45" s="504" t="s">
        <v>77</v>
      </c>
      <c r="C45" s="505">
        <f>C178</f>
        <v>0.05</v>
      </c>
      <c r="D45" s="507"/>
      <c r="E45" s="507"/>
      <c r="F45" s="711">
        <v>1</v>
      </c>
      <c r="G45" s="519">
        <f>C62</f>
        <v>0.90249999999999997</v>
      </c>
      <c r="H45" s="683">
        <f>C45*$C$54/$C$57*F45*G45</f>
        <v>8.0501535414762449E-3</v>
      </c>
      <c r="I45" s="554">
        <f t="shared" si="0"/>
        <v>1.3147357537817856E-2</v>
      </c>
      <c r="J45" s="665"/>
      <c r="K45" s="508">
        <f>H45</f>
        <v>8.0501535414762449E-3</v>
      </c>
      <c r="L45" s="757"/>
      <c r="M45" s="603"/>
      <c r="N45" s="753"/>
      <c r="O45" s="616"/>
      <c r="P45" s="617"/>
      <c r="Q45" s="618"/>
      <c r="R45" s="409"/>
      <c r="T45" s="526"/>
      <c r="U45" s="526"/>
      <c r="V45" s="526"/>
      <c r="W45" s="526"/>
      <c r="X45" s="526"/>
      <c r="Y45" s="526"/>
      <c r="Z45" s="526"/>
      <c r="AA45" s="526"/>
    </row>
    <row r="46" spans="1:27">
      <c r="A46" s="406"/>
      <c r="B46" s="578" t="s">
        <v>73</v>
      </c>
      <c r="C46" s="555"/>
      <c r="D46" s="551"/>
      <c r="E46" s="551"/>
      <c r="F46" s="712">
        <v>1</v>
      </c>
      <c r="G46" s="673">
        <v>1</v>
      </c>
      <c r="H46" s="688">
        <f>C183*F46*G46</f>
        <v>0</v>
      </c>
      <c r="I46" s="754">
        <f t="shared" si="0"/>
        <v>0</v>
      </c>
      <c r="J46" s="669"/>
      <c r="K46" s="670"/>
      <c r="L46" s="760"/>
      <c r="M46" s="608">
        <f>H46</f>
        <v>0</v>
      </c>
      <c r="N46" s="753"/>
      <c r="O46" s="617"/>
      <c r="P46" s="617"/>
      <c r="Q46" s="619"/>
      <c r="R46" s="409"/>
      <c r="T46" s="526"/>
      <c r="U46" s="526"/>
      <c r="V46" s="526"/>
      <c r="W46" s="526"/>
      <c r="X46" s="526"/>
      <c r="Y46" s="526"/>
      <c r="Z46" s="526"/>
      <c r="AA46" s="526"/>
    </row>
    <row r="47" spans="1:27" ht="15" thickBot="1">
      <c r="A47" s="406"/>
      <c r="B47" s="579" t="s">
        <v>76</v>
      </c>
      <c r="C47" s="564"/>
      <c r="D47" s="755"/>
      <c r="E47" s="755"/>
      <c r="F47" s="713">
        <v>1</v>
      </c>
      <c r="G47" s="674">
        <v>1</v>
      </c>
      <c r="H47" s="689">
        <f>C187*F47*G47</f>
        <v>0</v>
      </c>
      <c r="I47" s="752">
        <f t="shared" si="0"/>
        <v>0</v>
      </c>
      <c r="J47" s="671"/>
      <c r="K47" s="672"/>
      <c r="L47" s="672"/>
      <c r="M47" s="609">
        <f>H47</f>
        <v>0</v>
      </c>
      <c r="N47" s="767"/>
      <c r="O47" s="620"/>
      <c r="P47" s="620"/>
      <c r="Q47" s="621"/>
      <c r="R47" s="409"/>
      <c r="T47" s="526"/>
      <c r="U47" s="526"/>
      <c r="V47" s="526"/>
      <c r="W47" s="526"/>
      <c r="X47" s="526"/>
      <c r="Y47" s="526"/>
      <c r="Z47" s="526"/>
      <c r="AA47" s="526"/>
    </row>
    <row r="48" spans="1:27" ht="15" thickBot="1">
      <c r="A48" s="406"/>
      <c r="B48" s="429" t="s">
        <v>6</v>
      </c>
      <c r="C48" s="577"/>
      <c r="D48" s="403"/>
      <c r="E48" s="403"/>
      <c r="F48" s="403"/>
      <c r="G48" s="403"/>
      <c r="H48" s="435">
        <f>SUM(H28:H47)</f>
        <v>0.61230201721679012</v>
      </c>
      <c r="I48" s="552">
        <f t="shared" ref="I48:M48" si="1">SUM(I28:I47)</f>
        <v>0.99999999999999978</v>
      </c>
      <c r="J48" s="611">
        <f t="shared" si="1"/>
        <v>0.15733131698153674</v>
      </c>
      <c r="K48" s="614">
        <f t="shared" si="1"/>
        <v>0.19332182833840686</v>
      </c>
      <c r="L48" s="614">
        <f t="shared" si="1"/>
        <v>0.26164887189684649</v>
      </c>
      <c r="M48" s="615">
        <f t="shared" si="1"/>
        <v>0</v>
      </c>
      <c r="N48" s="418"/>
      <c r="O48" s="614"/>
      <c r="P48" s="614"/>
      <c r="Q48" s="615"/>
      <c r="R48" s="409"/>
      <c r="T48" s="526"/>
      <c r="U48" s="526"/>
      <c r="V48" s="526"/>
      <c r="W48" s="526"/>
      <c r="X48" s="526"/>
      <c r="Y48" s="526"/>
      <c r="Z48" s="526"/>
      <c r="AA48" s="526"/>
    </row>
    <row r="49" spans="1:27">
      <c r="A49" s="406"/>
      <c r="H49" s="404"/>
      <c r="K49" s="414"/>
      <c r="Q49" s="409"/>
      <c r="R49" s="409"/>
      <c r="T49" s="526"/>
      <c r="U49" s="526"/>
      <c r="V49" s="526"/>
      <c r="W49" s="526"/>
      <c r="X49" s="526"/>
      <c r="Y49" s="526"/>
      <c r="Z49" s="526"/>
      <c r="AA49" s="526"/>
    </row>
    <row r="50" spans="1:27">
      <c r="A50" s="406"/>
      <c r="Q50" s="409"/>
      <c r="R50" s="409"/>
      <c r="T50" s="526"/>
      <c r="U50" s="526"/>
      <c r="V50" s="526"/>
      <c r="W50" s="526"/>
      <c r="X50" s="526"/>
      <c r="Y50" s="526"/>
      <c r="Z50" s="526"/>
      <c r="AA50" s="526"/>
    </row>
    <row r="51" spans="1:27" ht="28.8">
      <c r="A51" s="406"/>
      <c r="B51" s="543" t="s">
        <v>57</v>
      </c>
      <c r="C51" s="420"/>
      <c r="D51" s="420"/>
      <c r="E51" s="420"/>
      <c r="F51" s="420"/>
      <c r="G51" s="544"/>
      <c r="H51" s="420"/>
      <c r="I51" s="420"/>
      <c r="J51" s="420"/>
      <c r="Q51" s="409"/>
      <c r="R51" s="409"/>
      <c r="T51" s="526"/>
      <c r="U51" s="526"/>
      <c r="V51" s="526"/>
      <c r="W51" s="526"/>
      <c r="X51" s="526"/>
      <c r="Y51" s="526"/>
      <c r="Z51" s="526"/>
      <c r="AA51" s="526"/>
    </row>
    <row r="52" spans="1:27">
      <c r="A52" s="406"/>
      <c r="E52" s="526"/>
      <c r="Q52" s="409"/>
      <c r="R52" s="409"/>
      <c r="T52" s="526"/>
      <c r="U52" s="526"/>
      <c r="V52" s="526"/>
      <c r="W52" s="526"/>
      <c r="X52" s="526"/>
      <c r="Y52" s="526"/>
      <c r="Z52" s="526"/>
      <c r="AA52" s="526"/>
    </row>
    <row r="53" spans="1:27">
      <c r="A53" s="406"/>
      <c r="B53" s="776" t="s">
        <v>203</v>
      </c>
      <c r="C53" s="775"/>
      <c r="D53" s="777"/>
      <c r="H53" s="404"/>
      <c r="Q53" s="409"/>
      <c r="R53" s="409"/>
      <c r="T53" s="526"/>
      <c r="U53" s="526"/>
      <c r="V53" s="526"/>
      <c r="W53" s="526"/>
      <c r="X53" s="526"/>
      <c r="Y53" s="526"/>
      <c r="Z53" s="526"/>
      <c r="AA53" s="526"/>
    </row>
    <row r="54" spans="1:27">
      <c r="A54" s="406"/>
      <c r="B54" s="778" t="s">
        <v>197</v>
      </c>
      <c r="C54" s="779">
        <v>72</v>
      </c>
      <c r="D54" s="780" t="s">
        <v>200</v>
      </c>
      <c r="H54" s="748"/>
      <c r="Q54" s="409"/>
      <c r="R54" s="409"/>
      <c r="T54" s="526"/>
      <c r="U54" s="526"/>
      <c r="V54" s="526"/>
      <c r="W54" s="526"/>
      <c r="X54" s="526"/>
      <c r="Y54" s="526"/>
      <c r="Z54" s="526"/>
      <c r="AA54" s="526"/>
    </row>
    <row r="55" spans="1:27">
      <c r="A55" s="406"/>
      <c r="B55" s="405" t="s">
        <v>196</v>
      </c>
      <c r="C55" s="526">
        <v>89</v>
      </c>
      <c r="D55" s="467" t="s">
        <v>1</v>
      </c>
      <c r="M55" s="404"/>
      <c r="Q55" s="409"/>
      <c r="R55" s="409"/>
      <c r="T55" s="526"/>
      <c r="U55" s="526"/>
      <c r="V55" s="526"/>
      <c r="W55" s="526"/>
      <c r="X55" s="526"/>
      <c r="Y55" s="526"/>
      <c r="Z55" s="526"/>
      <c r="AA55" s="526"/>
    </row>
    <row r="56" spans="1:27">
      <c r="A56" s="406"/>
      <c r="B56" s="406" t="s">
        <v>198</v>
      </c>
      <c r="C56" s="541">
        <f>C54*0.156^2/(C55/100)</f>
        <v>1.9687550561797753</v>
      </c>
      <c r="D56" s="467" t="s">
        <v>199</v>
      </c>
      <c r="H56" s="722"/>
      <c r="M56" s="404"/>
      <c r="Q56" s="410"/>
      <c r="R56" s="410"/>
      <c r="T56" s="526"/>
      <c r="U56" s="526"/>
      <c r="V56" s="526"/>
      <c r="W56" s="526"/>
      <c r="X56" s="526"/>
      <c r="Y56" s="526"/>
      <c r="Z56" s="526"/>
      <c r="AA56" s="526"/>
    </row>
    <row r="57" spans="1:27">
      <c r="A57" s="406"/>
      <c r="B57" s="747" t="s">
        <v>201</v>
      </c>
      <c r="C57" s="774">
        <f>C56*1000*$C$14/100</f>
        <v>403.5947865168539</v>
      </c>
      <c r="D57" s="746" t="s">
        <v>202</v>
      </c>
      <c r="M57" s="404"/>
      <c r="Q57" s="414"/>
      <c r="R57" s="414"/>
      <c r="T57" s="526"/>
      <c r="U57" s="526"/>
      <c r="V57" s="526"/>
      <c r="W57" s="526"/>
      <c r="X57" s="526"/>
      <c r="Y57" s="526"/>
      <c r="Z57" s="526"/>
      <c r="AA57" s="526"/>
    </row>
    <row r="58" spans="1:27">
      <c r="A58" s="406"/>
      <c r="M58" s="404"/>
      <c r="Q58" s="414"/>
      <c r="R58" s="414"/>
      <c r="T58" s="526"/>
      <c r="U58" s="526"/>
      <c r="V58" s="526"/>
      <c r="W58" s="526"/>
      <c r="X58" s="526"/>
      <c r="Y58" s="526"/>
      <c r="Z58" s="526"/>
      <c r="AA58" s="526"/>
    </row>
    <row r="59" spans="1:27">
      <c r="A59" s="406"/>
      <c r="B59" s="487" t="s">
        <v>65</v>
      </c>
      <c r="C59" s="488"/>
      <c r="D59" s="489"/>
      <c r="M59" s="404"/>
      <c r="N59" s="414"/>
      <c r="O59" s="414"/>
      <c r="P59" s="414"/>
      <c r="Q59" s="414"/>
      <c r="R59" s="414"/>
      <c r="T59" s="526"/>
      <c r="U59" s="526"/>
      <c r="V59" s="526"/>
      <c r="W59" s="526"/>
      <c r="X59" s="526"/>
      <c r="Y59" s="526"/>
      <c r="Z59" s="526"/>
      <c r="AA59" s="526"/>
    </row>
    <row r="60" spans="1:27">
      <c r="A60" s="406"/>
      <c r="B60" s="405" t="s">
        <v>49</v>
      </c>
      <c r="C60" s="526">
        <v>2</v>
      </c>
      <c r="D60" s="467" t="s">
        <v>31</v>
      </c>
      <c r="M60" s="404"/>
      <c r="N60" s="414"/>
      <c r="O60" s="414"/>
      <c r="P60" s="414"/>
      <c r="Q60" s="414"/>
      <c r="R60" s="414"/>
      <c r="T60" s="526"/>
      <c r="U60" s="526"/>
      <c r="V60" s="526"/>
      <c r="W60" s="526"/>
      <c r="X60" s="526"/>
      <c r="Y60" s="526"/>
      <c r="Z60" s="526"/>
      <c r="AA60" s="526"/>
    </row>
    <row r="61" spans="1:27">
      <c r="A61" s="406"/>
      <c r="B61" s="405" t="s">
        <v>48</v>
      </c>
      <c r="C61" s="526">
        <v>5</v>
      </c>
      <c r="D61" s="467" t="s">
        <v>1</v>
      </c>
      <c r="E61" s="402"/>
      <c r="H61" s="404"/>
      <c r="N61" s="414"/>
      <c r="O61" s="414"/>
      <c r="P61" s="414"/>
      <c r="Q61" s="414"/>
      <c r="R61" s="414"/>
      <c r="T61" s="526"/>
      <c r="U61" s="526"/>
      <c r="V61" s="526"/>
      <c r="W61" s="526"/>
      <c r="X61" s="526"/>
      <c r="Y61" s="526"/>
      <c r="Z61" s="526"/>
      <c r="AA61" s="526"/>
    </row>
    <row r="62" spans="1:27">
      <c r="A62" s="406"/>
      <c r="B62" s="525" t="s">
        <v>47</v>
      </c>
      <c r="C62" s="434">
        <f>(1-C61/100)^C60</f>
        <v>0.90249999999999997</v>
      </c>
      <c r="D62" s="524" t="s">
        <v>31</v>
      </c>
      <c r="M62" s="404"/>
      <c r="N62" s="414"/>
      <c r="O62" s="414"/>
      <c r="P62" s="414"/>
      <c r="Q62" s="414"/>
      <c r="R62" s="414"/>
      <c r="T62" s="526"/>
      <c r="U62" s="526"/>
      <c r="V62" s="526"/>
      <c r="W62" s="526"/>
      <c r="X62" s="526"/>
      <c r="Y62" s="526"/>
      <c r="Z62" s="526"/>
      <c r="AA62" s="526"/>
    </row>
    <row r="63" spans="1:27">
      <c r="A63" s="406"/>
      <c r="M63" s="404"/>
      <c r="N63" s="414"/>
      <c r="O63" s="414"/>
      <c r="P63" s="414"/>
      <c r="Q63" s="414"/>
      <c r="R63" s="414"/>
      <c r="T63" s="526"/>
      <c r="U63" s="526"/>
      <c r="V63" s="526"/>
      <c r="W63" s="526"/>
      <c r="X63" s="526"/>
      <c r="Y63" s="526"/>
      <c r="Z63" s="526"/>
      <c r="AA63" s="526"/>
    </row>
    <row r="64" spans="1:27">
      <c r="A64" s="406"/>
      <c r="B64" s="484" t="s">
        <v>36</v>
      </c>
      <c r="C64" s="485"/>
      <c r="D64" s="486"/>
      <c r="N64" s="414"/>
      <c r="O64" s="414"/>
      <c r="P64" s="414"/>
      <c r="Q64" s="414"/>
      <c r="R64" s="414"/>
      <c r="T64" s="526"/>
      <c r="U64" s="526"/>
      <c r="V64" s="526"/>
      <c r="W64" s="526"/>
      <c r="X64" s="526"/>
      <c r="Y64" s="526"/>
      <c r="Z64" s="526"/>
      <c r="AA64" s="526"/>
    </row>
    <row r="65" spans="1:27">
      <c r="A65" s="406"/>
      <c r="B65" s="468" t="s">
        <v>18</v>
      </c>
      <c r="C65" s="537">
        <v>2329</v>
      </c>
      <c r="D65" s="470" t="s">
        <v>20</v>
      </c>
      <c r="K65" s="404"/>
      <c r="N65" s="414"/>
      <c r="O65" s="414"/>
      <c r="P65" s="414"/>
      <c r="Q65" s="414"/>
      <c r="R65" s="414"/>
      <c r="T65" s="526"/>
      <c r="U65" s="526"/>
      <c r="V65" s="526"/>
      <c r="W65" s="526"/>
      <c r="X65" s="526"/>
      <c r="Y65" s="526"/>
      <c r="Z65" s="526"/>
      <c r="AA65" s="526"/>
    </row>
    <row r="66" spans="1:27" ht="15" customHeight="1">
      <c r="A66" s="406"/>
      <c r="B66" s="468" t="s">
        <v>204</v>
      </c>
      <c r="C66" s="469">
        <f>0.156*0.156*(C15/10^6/C16)*C65</f>
        <v>3.1488080000000003E-3</v>
      </c>
      <c r="D66" s="470" t="s">
        <v>19</v>
      </c>
      <c r="N66" s="414"/>
      <c r="O66" s="414"/>
      <c r="P66" s="414"/>
      <c r="Q66" s="414"/>
      <c r="R66" s="414"/>
      <c r="T66" s="526"/>
      <c r="U66" s="526"/>
      <c r="V66" s="526"/>
      <c r="W66" s="526"/>
      <c r="X66" s="526"/>
      <c r="Y66" s="526"/>
      <c r="Z66" s="526"/>
      <c r="AA66" s="526"/>
    </row>
    <row r="67" spans="1:27">
      <c r="A67" s="406"/>
      <c r="B67" s="781" t="s">
        <v>54</v>
      </c>
      <c r="C67" s="782">
        <f>C66*C17</f>
        <v>7.8720200000000004E-2</v>
      </c>
      <c r="D67" s="783" t="s">
        <v>21</v>
      </c>
      <c r="M67" s="414"/>
      <c r="N67" s="414"/>
      <c r="O67" s="409"/>
      <c r="P67" s="414"/>
      <c r="Q67" s="414"/>
      <c r="R67" s="414"/>
      <c r="T67" s="526"/>
      <c r="U67" s="526"/>
      <c r="V67" s="526"/>
      <c r="W67" s="526"/>
      <c r="X67" s="526"/>
      <c r="Y67" s="526"/>
      <c r="Z67" s="526"/>
      <c r="AA67" s="526"/>
    </row>
    <row r="68" spans="1:27">
      <c r="A68" s="406"/>
      <c r="J68" s="526"/>
      <c r="K68" s="414"/>
      <c r="L68" s="414"/>
      <c r="M68" s="414"/>
      <c r="N68" s="414"/>
      <c r="O68" s="540"/>
      <c r="P68" s="414"/>
      <c r="Q68" s="414"/>
      <c r="R68" s="414"/>
      <c r="T68" s="526"/>
      <c r="U68" s="526"/>
      <c r="V68" s="526"/>
      <c r="W68" s="526"/>
      <c r="X68" s="526"/>
      <c r="Y68" s="526"/>
      <c r="Z68" s="526"/>
      <c r="AA68" s="526"/>
    </row>
    <row r="69" spans="1:27">
      <c r="A69" s="406"/>
      <c r="B69" s="495" t="s">
        <v>192</v>
      </c>
      <c r="C69" s="496"/>
      <c r="D69" s="497"/>
      <c r="E69" s="497"/>
      <c r="F69" s="497"/>
      <c r="G69" s="497"/>
      <c r="H69" s="497"/>
      <c r="I69" s="497"/>
      <c r="J69" s="498"/>
      <c r="K69" s="414"/>
      <c r="L69" s="414"/>
      <c r="M69" s="414"/>
      <c r="N69" s="414"/>
      <c r="O69" s="540"/>
      <c r="P69" s="414"/>
      <c r="Q69" s="414"/>
      <c r="R69" s="414"/>
      <c r="T69" s="526"/>
      <c r="U69" s="526"/>
      <c r="V69" s="526"/>
      <c r="W69" s="526"/>
      <c r="X69" s="526"/>
      <c r="Y69" s="526"/>
      <c r="Z69" s="526"/>
      <c r="AA69" s="526"/>
    </row>
    <row r="70" spans="1:27">
      <c r="A70" s="406"/>
      <c r="B70" s="462" t="s">
        <v>128</v>
      </c>
      <c r="C70" s="460">
        <v>347</v>
      </c>
      <c r="D70" s="460" t="s">
        <v>129</v>
      </c>
      <c r="E70" s="460"/>
      <c r="F70" s="460"/>
      <c r="G70" s="460"/>
      <c r="H70" s="460"/>
      <c r="I70" s="460"/>
      <c r="J70" s="491"/>
      <c r="K70" s="414"/>
      <c r="L70" s="414"/>
      <c r="M70" s="414"/>
      <c r="N70" s="414"/>
      <c r="O70" s="540"/>
      <c r="P70" s="414"/>
      <c r="Q70" s="414"/>
      <c r="R70" s="414"/>
      <c r="T70" s="526"/>
      <c r="U70" s="526"/>
      <c r="V70" s="526"/>
      <c r="W70" s="526"/>
      <c r="X70" s="526"/>
      <c r="Y70" s="526"/>
      <c r="Z70" s="526"/>
      <c r="AA70" s="526"/>
    </row>
    <row r="71" spans="1:27">
      <c r="A71" s="406"/>
      <c r="B71" s="462" t="s">
        <v>130</v>
      </c>
      <c r="C71" s="635">
        <v>14.4</v>
      </c>
      <c r="D71" s="460" t="s">
        <v>31</v>
      </c>
      <c r="E71" s="460"/>
      <c r="F71" s="460"/>
      <c r="G71" s="460"/>
      <c r="H71" s="460"/>
      <c r="I71" s="460"/>
      <c r="J71" s="491"/>
      <c r="K71" s="414"/>
      <c r="L71" s="414"/>
      <c r="M71" s="414"/>
      <c r="N71" s="414"/>
      <c r="O71" s="540"/>
      <c r="P71" s="414"/>
      <c r="Q71" s="414"/>
      <c r="R71" s="414"/>
      <c r="T71" s="526"/>
      <c r="U71" s="526"/>
      <c r="V71" s="526"/>
      <c r="W71" s="526"/>
      <c r="X71" s="526"/>
      <c r="Y71" s="526"/>
      <c r="Z71" s="526"/>
      <c r="AA71" s="526"/>
    </row>
    <row r="72" spans="1:27">
      <c r="A72" s="406"/>
      <c r="B72" s="462" t="s">
        <v>90</v>
      </c>
      <c r="C72" s="514">
        <f>C70*10^6/(C71/100*1000)</f>
        <v>2409722.2222222215</v>
      </c>
      <c r="D72" s="460" t="s">
        <v>34</v>
      </c>
      <c r="E72" s="460"/>
      <c r="F72" s="460"/>
      <c r="G72" s="460"/>
      <c r="H72" s="460"/>
      <c r="I72" s="460"/>
      <c r="J72" s="491"/>
      <c r="K72" s="414"/>
      <c r="L72" s="414"/>
      <c r="M72" s="414"/>
      <c r="N72" s="414"/>
      <c r="O72" s="540"/>
      <c r="P72" s="414"/>
      <c r="Q72" s="526"/>
      <c r="T72" s="526"/>
      <c r="U72" s="526"/>
      <c r="V72" s="526"/>
      <c r="W72" s="526"/>
      <c r="X72" s="526"/>
      <c r="Y72" s="526"/>
      <c r="Z72" s="526"/>
      <c r="AA72" s="526"/>
    </row>
    <row r="73" spans="1:27">
      <c r="A73" s="406"/>
      <c r="B73" s="462" t="s">
        <v>268</v>
      </c>
      <c r="C73" s="460">
        <v>5</v>
      </c>
      <c r="D73" s="460" t="s">
        <v>133</v>
      </c>
      <c r="E73" s="460"/>
      <c r="F73" s="460"/>
      <c r="G73" s="460"/>
      <c r="H73" s="460"/>
      <c r="I73" s="460"/>
      <c r="J73" s="491"/>
      <c r="K73" s="414"/>
      <c r="L73" s="414"/>
      <c r="M73" s="414"/>
      <c r="N73" s="414"/>
      <c r="O73" s="540"/>
      <c r="P73" s="414"/>
      <c r="Q73" s="526"/>
      <c r="T73" s="526"/>
      <c r="U73" s="526"/>
      <c r="V73" s="526"/>
      <c r="W73" s="526"/>
      <c r="X73" s="526"/>
      <c r="Y73" s="526"/>
      <c r="Z73" s="526"/>
      <c r="AA73" s="526"/>
    </row>
    <row r="74" spans="1:27">
      <c r="A74" s="406"/>
      <c r="B74" s="462" t="s">
        <v>269</v>
      </c>
      <c r="C74" s="634">
        <v>39</v>
      </c>
      <c r="D74" s="460" t="s">
        <v>133</v>
      </c>
      <c r="E74" s="460"/>
      <c r="F74" s="460"/>
      <c r="G74" s="460"/>
      <c r="H74" s="460"/>
      <c r="I74" s="460"/>
      <c r="J74" s="491"/>
      <c r="K74" s="414"/>
      <c r="L74" s="414"/>
      <c r="M74" s="414"/>
      <c r="N74" s="414"/>
      <c r="O74" s="540"/>
      <c r="P74" s="414"/>
      <c r="Q74" s="526"/>
      <c r="T74" s="526"/>
      <c r="U74" s="526"/>
      <c r="V74" s="526"/>
      <c r="W74" s="526"/>
      <c r="X74" s="526"/>
      <c r="Y74" s="526"/>
      <c r="Z74" s="526"/>
      <c r="AA74" s="526"/>
    </row>
    <row r="75" spans="1:27">
      <c r="A75" s="406"/>
      <c r="B75" s="750"/>
      <c r="C75" s="460"/>
      <c r="D75" s="460"/>
      <c r="E75" s="460"/>
      <c r="F75" s="460"/>
      <c r="G75" s="460"/>
      <c r="H75" s="460"/>
      <c r="I75" s="460"/>
      <c r="J75" s="491"/>
      <c r="K75" s="414"/>
      <c r="L75" s="414"/>
      <c r="M75" s="414"/>
      <c r="N75" s="749"/>
      <c r="O75" s="414"/>
      <c r="P75" s="414"/>
      <c r="Q75" s="526"/>
      <c r="T75" s="526"/>
      <c r="U75" s="526"/>
      <c r="V75" s="526"/>
      <c r="W75" s="526"/>
      <c r="X75" s="526"/>
      <c r="Y75" s="526"/>
      <c r="Z75" s="526"/>
      <c r="AA75" s="526"/>
    </row>
    <row r="76" spans="1:27">
      <c r="A76" s="406"/>
      <c r="B76" s="462"/>
      <c r="C76" s="460" t="s">
        <v>138</v>
      </c>
      <c r="D76" s="460" t="s">
        <v>131</v>
      </c>
      <c r="E76" s="460" t="s">
        <v>235</v>
      </c>
      <c r="F76" s="460" t="s">
        <v>236</v>
      </c>
      <c r="G76" s="460" t="s">
        <v>205</v>
      </c>
      <c r="H76" s="492" t="s">
        <v>135</v>
      </c>
      <c r="I76" s="460" t="s">
        <v>270</v>
      </c>
      <c r="J76" s="491"/>
      <c r="K76" s="414"/>
      <c r="L76" s="414"/>
      <c r="M76" s="414"/>
      <c r="N76" s="414"/>
      <c r="O76" s="751"/>
      <c r="P76" s="414"/>
      <c r="Q76" s="526"/>
      <c r="T76" s="526"/>
      <c r="U76" s="526"/>
      <c r="V76" s="526"/>
      <c r="W76" s="526"/>
      <c r="X76" s="526"/>
      <c r="Y76" s="526"/>
      <c r="Z76" s="526"/>
      <c r="AA76" s="526"/>
    </row>
    <row r="77" spans="1:27">
      <c r="A77" s="406"/>
      <c r="B77" s="462" t="s">
        <v>132</v>
      </c>
      <c r="C77" s="634">
        <f>28000+18500</f>
        <v>46500</v>
      </c>
      <c r="D77" s="514">
        <f>(80.5*0.85+16+76.8*0.85+13)*1.27*1000000*0.9*1.15-18000000</f>
        <v>195867587.24999997</v>
      </c>
      <c r="E77" s="514">
        <f>(80.5*0.85+16*0+76.8*0.85+13*0)*1.27*1000000*0.9*1.15/C73</f>
        <v>35149707.449999988</v>
      </c>
      <c r="F77" s="514">
        <f>(80.5*0.85*0+16*1+76.8*0.85*0+13*1)*1.27*1000000*0.9*1.15/C74</f>
        <v>977411.5384615385</v>
      </c>
      <c r="G77" s="635">
        <f>(E77+F77)/$C$72</f>
        <v>14.992233816537352</v>
      </c>
      <c r="H77" s="637">
        <f>G77/(($C$14/100)*1000)</f>
        <v>7.3132847885548052E-2</v>
      </c>
      <c r="I77" s="490">
        <f>D77/1000000/$C$70</f>
        <v>0.56445990561959647</v>
      </c>
      <c r="J77" s="491"/>
      <c r="K77" s="414"/>
      <c r="L77" s="414"/>
      <c r="M77" s="414"/>
      <c r="N77" s="414"/>
      <c r="O77" s="751"/>
      <c r="P77" s="414"/>
      <c r="Q77" s="526"/>
      <c r="T77" s="526"/>
      <c r="U77" s="526"/>
      <c r="V77" s="526"/>
      <c r="W77" s="526"/>
      <c r="X77" s="526"/>
      <c r="Y77" s="526"/>
      <c r="Z77" s="526"/>
      <c r="AA77" s="526"/>
    </row>
    <row r="78" spans="1:27">
      <c r="A78" s="406"/>
      <c r="B78" s="462" t="s">
        <v>44</v>
      </c>
      <c r="C78" s="634">
        <v>18000</v>
      </c>
      <c r="D78" s="514">
        <f>(110*0.85+16.3)*1.27*1000000*0.9*1.15</f>
        <v>144326610</v>
      </c>
      <c r="E78" s="514">
        <f>(110*0.85+16.3*0)*1.27*1000000*0.9*1.15/C73</f>
        <v>24580214.999999996</v>
      </c>
      <c r="F78" s="514">
        <f>(110*0.85*0+16.3*1)*1.27*1000000*0.9*1.15/C74</f>
        <v>549372.69230769225</v>
      </c>
      <c r="G78" s="635">
        <f t="shared" ref="G78:G79" si="2">(E78+F78)/$C$72</f>
        <v>10.428416794502329</v>
      </c>
      <c r="H78" s="637">
        <f>G78/(($C$14/100)*1000)</f>
        <v>5.0870325826840632E-2</v>
      </c>
      <c r="I78" s="490">
        <f t="shared" ref="I78:I79" si="3">D78/1000000/$C$70</f>
        <v>0.41592682997118152</v>
      </c>
      <c r="J78" s="491"/>
      <c r="K78" s="414"/>
      <c r="L78" s="414"/>
      <c r="M78" s="414"/>
      <c r="N78" s="414"/>
      <c r="O78" s="751"/>
      <c r="P78" s="414"/>
      <c r="Q78" s="526"/>
      <c r="T78" s="526"/>
      <c r="U78" s="526"/>
      <c r="V78" s="526"/>
      <c r="W78" s="526"/>
      <c r="X78" s="526"/>
      <c r="Y78" s="526"/>
      <c r="Z78" s="526"/>
      <c r="AA78" s="526"/>
    </row>
    <row r="79" spans="1:27">
      <c r="A79" s="406"/>
      <c r="B79" s="462" t="s">
        <v>45</v>
      </c>
      <c r="C79" s="634">
        <v>20000</v>
      </c>
      <c r="D79" s="514">
        <f>(73.5*0.85+20)*1.27*1000000*0.6*1.15</f>
        <v>72272842.49999997</v>
      </c>
      <c r="E79" s="514">
        <f>(73.5*0.85+20*0)*1.27*1000000*0.6*1.15/C73</f>
        <v>10949368.499999998</v>
      </c>
      <c r="F79" s="514">
        <f>(73.5*0.85*0+20*1)*1.27*1000000*0.6*1.15/C74</f>
        <v>449384.61538461538</v>
      </c>
      <c r="G79" s="635">
        <f t="shared" si="2"/>
        <v>4.7303182957215704</v>
      </c>
      <c r="H79" s="637">
        <f>G79/(($C$14/100)*1000)</f>
        <v>2.307472339376376E-2</v>
      </c>
      <c r="I79" s="490">
        <f t="shared" si="3"/>
        <v>0.20827908501440912</v>
      </c>
      <c r="J79" s="491"/>
      <c r="K79" s="414"/>
      <c r="L79" s="414"/>
      <c r="M79" s="414"/>
      <c r="N79" s="414"/>
      <c r="O79" s="751"/>
      <c r="P79" s="414"/>
      <c r="Q79" s="526"/>
      <c r="T79" s="526"/>
      <c r="U79" s="526"/>
      <c r="V79" s="526"/>
      <c r="W79" s="526"/>
      <c r="X79" s="526"/>
      <c r="Y79" s="526"/>
      <c r="Z79" s="526"/>
      <c r="AA79" s="526"/>
    </row>
    <row r="80" spans="1:27">
      <c r="A80" s="406"/>
      <c r="B80" s="493"/>
      <c r="C80" s="494" t="s">
        <v>194</v>
      </c>
      <c r="D80" s="808">
        <f>SUM(D77:D79)/1000000/C70</f>
        <v>1.1886658206051874</v>
      </c>
      <c r="E80" s="494"/>
      <c r="F80" s="494"/>
      <c r="G80" s="809" t="s">
        <v>136</v>
      </c>
      <c r="H80" s="810">
        <f>SUM(H77:H79)</f>
        <v>0.14707789710615243</v>
      </c>
      <c r="I80" s="494"/>
      <c r="J80" s="793"/>
      <c r="K80" s="414"/>
      <c r="L80" s="414"/>
      <c r="M80" s="414"/>
      <c r="N80" s="414"/>
      <c r="O80" s="540"/>
      <c r="P80" s="414"/>
      <c r="Q80" s="526"/>
      <c r="T80" s="526"/>
      <c r="U80" s="526"/>
      <c r="V80" s="526"/>
      <c r="W80" s="526"/>
      <c r="X80" s="526"/>
      <c r="Y80" s="526"/>
      <c r="Z80" s="526"/>
      <c r="AA80" s="526"/>
    </row>
    <row r="81" spans="1:27">
      <c r="A81" s="406"/>
      <c r="B81" s="414"/>
      <c r="C81" s="414"/>
      <c r="D81" s="414"/>
      <c r="E81" s="408"/>
      <c r="F81" s="408"/>
      <c r="G81" s="414"/>
      <c r="H81" s="414"/>
      <c r="I81" s="414"/>
      <c r="J81" s="414"/>
      <c r="K81" s="414"/>
      <c r="L81" s="414"/>
      <c r="M81" s="409"/>
      <c r="N81" s="633"/>
      <c r="O81" s="633"/>
      <c r="P81" s="633"/>
      <c r="T81" s="526"/>
      <c r="U81" s="526"/>
      <c r="V81" s="526"/>
      <c r="W81" s="526"/>
      <c r="X81" s="526"/>
      <c r="Y81" s="526"/>
      <c r="Z81" s="526"/>
      <c r="AA81" s="526"/>
    </row>
    <row r="82" spans="1:27">
      <c r="A82" s="406"/>
      <c r="B82" s="647" t="s">
        <v>126</v>
      </c>
      <c r="C82" s="648"/>
      <c r="D82" s="648"/>
      <c r="E82" s="649"/>
      <c r="F82" s="411"/>
      <c r="G82" s="411"/>
      <c r="H82" s="411"/>
      <c r="I82" s="411"/>
      <c r="J82" s="414"/>
      <c r="K82" s="414"/>
      <c r="L82" s="414"/>
      <c r="M82" s="409"/>
      <c r="N82" s="633"/>
      <c r="O82" s="633"/>
      <c r="P82" s="633"/>
      <c r="T82" s="526"/>
      <c r="U82" s="526"/>
      <c r="V82" s="526"/>
      <c r="W82" s="526"/>
      <c r="X82" s="526"/>
      <c r="Y82" s="526"/>
      <c r="Z82" s="526"/>
      <c r="AA82" s="526"/>
    </row>
    <row r="83" spans="1:27">
      <c r="A83" s="406"/>
      <c r="B83" s="553" t="s">
        <v>139</v>
      </c>
      <c r="C83" s="566">
        <v>0.05</v>
      </c>
      <c r="D83" s="651" t="s">
        <v>31</v>
      </c>
      <c r="E83" s="652"/>
      <c r="F83" s="411"/>
      <c r="G83" s="411"/>
      <c r="H83" s="411"/>
      <c r="I83" s="411"/>
      <c r="J83" s="414"/>
      <c r="K83" s="414"/>
      <c r="L83" s="414"/>
      <c r="M83" s="409"/>
      <c r="N83" s="633"/>
      <c r="O83" s="633"/>
      <c r="P83" s="633"/>
      <c r="T83" s="526"/>
      <c r="U83" s="526"/>
      <c r="V83" s="526"/>
      <c r="W83" s="526"/>
      <c r="X83" s="526"/>
      <c r="Y83" s="526"/>
      <c r="Z83" s="526"/>
      <c r="AA83" s="526"/>
    </row>
    <row r="84" spans="1:27">
      <c r="A84" s="406"/>
      <c r="B84" s="553"/>
      <c r="C84" s="566" t="s">
        <v>134</v>
      </c>
      <c r="D84" s="566" t="s">
        <v>205</v>
      </c>
      <c r="E84" s="653" t="s">
        <v>135</v>
      </c>
      <c r="F84" s="411"/>
      <c r="G84" s="411"/>
      <c r="H84" s="411"/>
      <c r="I84" s="411"/>
      <c r="J84" s="414"/>
      <c r="K84" s="414"/>
      <c r="L84" s="414"/>
      <c r="M84" s="409"/>
      <c r="N84" s="633"/>
      <c r="O84" s="633"/>
      <c r="P84" s="633"/>
      <c r="T84" s="526"/>
      <c r="U84" s="526"/>
      <c r="V84" s="526"/>
      <c r="W84" s="526"/>
      <c r="X84" s="526"/>
      <c r="Y84" s="526"/>
      <c r="Z84" s="526"/>
      <c r="AA84" s="526"/>
    </row>
    <row r="85" spans="1:27">
      <c r="A85" s="406"/>
      <c r="B85" s="553" t="s">
        <v>132</v>
      </c>
      <c r="C85" s="654">
        <f>$C$83*D77</f>
        <v>9793379.3624999989</v>
      </c>
      <c r="D85" s="650">
        <f>C85/$C$72</f>
        <v>4.0641113204610955</v>
      </c>
      <c r="E85" s="655">
        <f>D85/(($C$14/100)*1000)</f>
        <v>1.9824933270541929E-2</v>
      </c>
      <c r="F85" s="411"/>
      <c r="G85" s="411"/>
      <c r="H85" s="411"/>
      <c r="I85" s="411"/>
      <c r="J85" s="414"/>
      <c r="K85" s="414"/>
      <c r="L85" s="414"/>
      <c r="M85" s="409"/>
      <c r="N85" s="633"/>
      <c r="O85" s="633"/>
      <c r="P85" s="633"/>
      <c r="T85" s="526"/>
      <c r="U85" s="526"/>
      <c r="V85" s="526"/>
      <c r="W85" s="526"/>
      <c r="X85" s="526"/>
      <c r="Y85" s="526"/>
      <c r="Z85" s="526"/>
      <c r="AA85" s="526"/>
    </row>
    <row r="86" spans="1:27">
      <c r="A86" s="406"/>
      <c r="B86" s="553" t="s">
        <v>44</v>
      </c>
      <c r="C86" s="654">
        <f>$C$83*D78</f>
        <v>7216330.5</v>
      </c>
      <c r="D86" s="650">
        <f>C86/$C$72</f>
        <v>2.9946731757925082</v>
      </c>
      <c r="E86" s="655">
        <f>D86/(($C$14/100)*1000)</f>
        <v>1.4608161833134186E-2</v>
      </c>
      <c r="F86" s="411"/>
      <c r="G86" s="411"/>
      <c r="H86" s="411"/>
      <c r="I86" s="411"/>
      <c r="J86" s="414"/>
      <c r="K86" s="414"/>
      <c r="L86" s="414"/>
      <c r="M86" s="409"/>
      <c r="N86" s="633"/>
      <c r="O86" s="633"/>
      <c r="P86" s="633"/>
      <c r="T86" s="526"/>
      <c r="U86" s="526"/>
      <c r="V86" s="526"/>
      <c r="W86" s="526"/>
      <c r="X86" s="526"/>
      <c r="Y86" s="526"/>
      <c r="Z86" s="526"/>
      <c r="AA86" s="526"/>
    </row>
    <row r="87" spans="1:27">
      <c r="A87" s="406"/>
      <c r="B87" s="553" t="s">
        <v>45</v>
      </c>
      <c r="C87" s="654">
        <f>$C$83*D79</f>
        <v>3613642.1249999986</v>
      </c>
      <c r="D87" s="650">
        <f>C87/$C$72</f>
        <v>1.4996094121037462</v>
      </c>
      <c r="E87" s="655">
        <f>D87/(($C$14/100)*1000)</f>
        <v>7.3151678639207136E-3</v>
      </c>
      <c r="F87" s="411"/>
      <c r="G87" s="411"/>
      <c r="H87" s="411"/>
      <c r="I87" s="411"/>
      <c r="J87" s="414"/>
      <c r="K87" s="414"/>
      <c r="L87" s="414"/>
      <c r="M87" s="409"/>
      <c r="N87" s="633"/>
      <c r="O87" s="633"/>
      <c r="P87" s="633"/>
      <c r="T87" s="526"/>
      <c r="U87" s="526"/>
      <c r="V87" s="526"/>
      <c r="W87" s="526"/>
      <c r="X87" s="526"/>
      <c r="Y87" s="526"/>
      <c r="Z87" s="526"/>
      <c r="AA87" s="526"/>
    </row>
    <row r="88" spans="1:27">
      <c r="A88" s="406"/>
      <c r="B88" s="656"/>
      <c r="C88" s="657"/>
      <c r="D88" s="658" t="s">
        <v>136</v>
      </c>
      <c r="E88" s="659">
        <f>SUM(E85:E87)</f>
        <v>4.174826296759683E-2</v>
      </c>
      <c r="F88" s="411"/>
      <c r="G88" s="411"/>
      <c r="H88" s="411"/>
      <c r="I88" s="411"/>
      <c r="J88" s="414"/>
      <c r="K88" s="414"/>
      <c r="L88" s="414"/>
      <c r="M88" s="409"/>
      <c r="N88" s="633"/>
      <c r="O88" s="633"/>
      <c r="P88" s="633"/>
      <c r="T88" s="526"/>
      <c r="U88" s="526"/>
      <c r="V88" s="526"/>
      <c r="W88" s="526"/>
      <c r="X88" s="526"/>
      <c r="Y88" s="526"/>
      <c r="Z88" s="526"/>
      <c r="AA88" s="526"/>
    </row>
    <row r="89" spans="1:27">
      <c r="A89" s="406"/>
      <c r="B89" s="411"/>
      <c r="C89" s="411"/>
      <c r="D89" s="411"/>
      <c r="E89" s="411"/>
      <c r="F89" s="411"/>
      <c r="G89" s="411"/>
      <c r="H89" s="411"/>
      <c r="I89" s="411"/>
      <c r="J89" s="414"/>
      <c r="K89" s="414"/>
      <c r="L89" s="414"/>
      <c r="M89" s="409"/>
      <c r="N89" s="633"/>
      <c r="O89" s="633"/>
      <c r="P89" s="633"/>
      <c r="T89" s="526"/>
      <c r="U89" s="526"/>
      <c r="V89" s="526"/>
      <c r="W89" s="526"/>
      <c r="X89" s="526"/>
      <c r="Y89" s="526"/>
      <c r="Z89" s="526"/>
      <c r="AA89" s="526"/>
    </row>
    <row r="90" spans="1:27">
      <c r="A90" s="406"/>
      <c r="B90" s="481" t="s">
        <v>112</v>
      </c>
      <c r="C90" s="482"/>
      <c r="D90" s="483"/>
      <c r="E90" s="411"/>
      <c r="F90" s="411"/>
      <c r="G90" s="411"/>
      <c r="H90" s="411"/>
      <c r="I90" s="411"/>
      <c r="J90" s="414"/>
      <c r="K90" s="414"/>
      <c r="L90" s="414"/>
      <c r="M90" s="409"/>
      <c r="N90" s="633"/>
      <c r="O90" s="633"/>
      <c r="P90" s="633"/>
      <c r="T90" s="526"/>
      <c r="U90" s="526"/>
      <c r="V90" s="526"/>
      <c r="W90" s="526"/>
      <c r="X90" s="526"/>
      <c r="Y90" s="526"/>
      <c r="Z90" s="526"/>
      <c r="AA90" s="526"/>
    </row>
    <row r="91" spans="1:27">
      <c r="A91" s="406"/>
      <c r="B91" s="830" t="s">
        <v>240</v>
      </c>
      <c r="C91" s="828">
        <f>21336000*1.05</f>
        <v>22402800</v>
      </c>
      <c r="D91" s="692" t="s">
        <v>33</v>
      </c>
      <c r="E91" s="411"/>
      <c r="F91" s="411"/>
      <c r="G91" s="411"/>
      <c r="H91" s="411"/>
      <c r="I91" s="411"/>
      <c r="J91" s="414"/>
      <c r="K91" s="414"/>
      <c r="L91" s="414"/>
      <c r="M91" s="409"/>
      <c r="N91" s="633"/>
      <c r="O91" s="633"/>
      <c r="P91" s="633"/>
      <c r="T91" s="526"/>
      <c r="U91" s="526"/>
      <c r="V91" s="526"/>
      <c r="W91" s="526"/>
      <c r="X91" s="526"/>
      <c r="Y91" s="526"/>
      <c r="Z91" s="526"/>
      <c r="AA91" s="526"/>
    </row>
    <row r="92" spans="1:27">
      <c r="A92" s="406"/>
      <c r="B92" s="446" t="s">
        <v>137</v>
      </c>
      <c r="C92" s="693">
        <f>C91/C72</f>
        <v>9.2968391930835761</v>
      </c>
      <c r="D92" s="471" t="s">
        <v>206</v>
      </c>
      <c r="E92" s="411"/>
      <c r="F92" s="411"/>
      <c r="G92" s="411"/>
      <c r="H92" s="411"/>
      <c r="I92" s="411"/>
      <c r="J92" s="414"/>
      <c r="K92" s="414"/>
      <c r="L92" s="414"/>
      <c r="M92" s="409"/>
      <c r="N92" s="633"/>
      <c r="O92" s="633"/>
      <c r="P92" s="633"/>
      <c r="T92" s="526"/>
      <c r="U92" s="526"/>
      <c r="V92" s="526"/>
      <c r="W92" s="526"/>
      <c r="X92" s="526"/>
      <c r="Y92" s="526"/>
      <c r="Z92" s="526"/>
      <c r="AA92" s="526"/>
    </row>
    <row r="93" spans="1:27">
      <c r="A93" s="406"/>
      <c r="B93" s="690" t="s">
        <v>32</v>
      </c>
      <c r="C93" s="694">
        <f>C92/(($C$14/100)*1000)</f>
        <v>4.5350435088212564E-2</v>
      </c>
      <c r="D93" s="691" t="s">
        <v>3</v>
      </c>
      <c r="E93" s="411"/>
      <c r="F93" s="411"/>
      <c r="G93" s="411"/>
      <c r="H93" s="411"/>
      <c r="I93" s="411"/>
      <c r="J93" s="414"/>
      <c r="K93" s="414"/>
      <c r="L93" s="414"/>
      <c r="M93" s="409"/>
      <c r="N93" s="633"/>
      <c r="O93" s="633"/>
      <c r="P93" s="633"/>
      <c r="T93" s="526"/>
      <c r="U93" s="526"/>
      <c r="V93" s="526"/>
      <c r="W93" s="526"/>
      <c r="X93" s="526"/>
      <c r="Y93" s="526"/>
      <c r="Z93" s="526"/>
      <c r="AA93" s="526"/>
    </row>
    <row r="94" spans="1:27">
      <c r="A94" s="406"/>
      <c r="B94" s="411"/>
      <c r="C94" s="411"/>
      <c r="D94" s="411"/>
      <c r="E94" s="411"/>
      <c r="F94" s="411"/>
      <c r="G94" s="411"/>
      <c r="H94" s="411"/>
      <c r="I94" s="744"/>
      <c r="J94" s="414"/>
      <c r="K94" s="414"/>
      <c r="L94" s="414"/>
      <c r="M94" s="409"/>
      <c r="N94" s="633"/>
      <c r="O94" s="633"/>
      <c r="P94" s="633"/>
      <c r="T94" s="526"/>
      <c r="U94" s="526"/>
      <c r="V94" s="526"/>
      <c r="W94" s="526"/>
      <c r="X94" s="526"/>
      <c r="Y94" s="526"/>
      <c r="Z94" s="526"/>
      <c r="AA94" s="526"/>
    </row>
    <row r="95" spans="1:27">
      <c r="A95" s="406"/>
      <c r="B95" s="695" t="s">
        <v>82</v>
      </c>
      <c r="C95" s="696"/>
      <c r="D95" s="697"/>
      <c r="E95" s="411"/>
      <c r="F95" s="411"/>
      <c r="G95" s="411"/>
      <c r="H95" s="411"/>
      <c r="I95" s="745"/>
      <c r="J95" s="414"/>
      <c r="K95" s="414"/>
      <c r="L95" s="414"/>
      <c r="M95" s="409"/>
      <c r="N95" s="633"/>
      <c r="O95" s="633"/>
      <c r="P95" s="633"/>
      <c r="T95" s="526"/>
      <c r="U95" s="526"/>
      <c r="V95" s="526"/>
      <c r="W95" s="526"/>
      <c r="X95" s="526"/>
      <c r="Y95" s="526"/>
      <c r="Z95" s="526"/>
      <c r="AA95" s="526"/>
    </row>
    <row r="96" spans="1:27">
      <c r="A96" s="406"/>
      <c r="B96" s="698" t="s">
        <v>240</v>
      </c>
      <c r="C96" s="829">
        <v>10287000</v>
      </c>
      <c r="D96" s="699" t="s">
        <v>33</v>
      </c>
      <c r="E96" s="411"/>
      <c r="F96" s="411"/>
      <c r="G96" s="411"/>
      <c r="H96" s="411"/>
      <c r="I96" s="411"/>
      <c r="J96" s="414"/>
      <c r="K96" s="414"/>
      <c r="L96" s="414"/>
      <c r="M96" s="409"/>
      <c r="N96" s="633"/>
      <c r="O96" s="633"/>
      <c r="P96" s="633"/>
      <c r="T96" s="526"/>
      <c r="U96" s="526"/>
      <c r="V96" s="526"/>
      <c r="W96" s="526"/>
      <c r="X96" s="526"/>
      <c r="Y96" s="526"/>
      <c r="Z96" s="526"/>
      <c r="AA96" s="526"/>
    </row>
    <row r="97" spans="1:27">
      <c r="A97" s="406"/>
      <c r="B97" s="576" t="s">
        <v>137</v>
      </c>
      <c r="C97" s="574">
        <f>C96/C72</f>
        <v>4.2689567723342954</v>
      </c>
      <c r="D97" s="589" t="s">
        <v>206</v>
      </c>
      <c r="E97" s="411"/>
      <c r="F97" s="411"/>
      <c r="G97" s="411"/>
      <c r="H97" s="411"/>
      <c r="I97" s="411"/>
      <c r="J97" s="414"/>
      <c r="K97" s="414"/>
      <c r="L97" s="414"/>
      <c r="M97" s="409"/>
      <c r="N97" s="633"/>
      <c r="O97" s="633"/>
      <c r="P97" s="633"/>
      <c r="T97" s="526"/>
      <c r="U97" s="526"/>
      <c r="V97" s="526"/>
      <c r="W97" s="526"/>
      <c r="X97" s="526"/>
      <c r="Y97" s="526"/>
      <c r="Z97" s="526"/>
      <c r="AA97" s="526"/>
    </row>
    <row r="98" spans="1:27">
      <c r="A98" s="406"/>
      <c r="B98" s="700" t="s">
        <v>32</v>
      </c>
      <c r="C98" s="701">
        <f>C97/(($C$14/100)*1000)</f>
        <v>2.0824179377240466E-2</v>
      </c>
      <c r="D98" s="702" t="s">
        <v>3</v>
      </c>
      <c r="E98" s="411"/>
      <c r="F98" s="411"/>
      <c r="G98" s="411"/>
      <c r="H98" s="411"/>
      <c r="I98" s="744"/>
      <c r="J98" s="414"/>
      <c r="K98" s="414"/>
      <c r="L98" s="414"/>
      <c r="M98" s="409"/>
      <c r="N98" s="633"/>
      <c r="O98" s="633"/>
      <c r="P98" s="633"/>
      <c r="T98" s="526"/>
      <c r="U98" s="526"/>
      <c r="V98" s="526"/>
      <c r="W98" s="526"/>
      <c r="X98" s="526"/>
      <c r="Y98" s="526"/>
      <c r="Z98" s="526"/>
      <c r="AA98" s="526"/>
    </row>
    <row r="99" spans="1:27">
      <c r="A99" s="406"/>
      <c r="G99" s="728"/>
      <c r="J99" s="414"/>
      <c r="T99" s="526"/>
      <c r="U99" s="526"/>
      <c r="V99" s="526"/>
      <c r="W99" s="526"/>
      <c r="X99" s="526"/>
      <c r="Y99" s="526"/>
      <c r="Z99" s="526"/>
      <c r="AA99" s="526"/>
    </row>
    <row r="100" spans="1:27">
      <c r="A100" s="406"/>
      <c r="B100" s="478" t="s">
        <v>37</v>
      </c>
      <c r="C100" s="479"/>
      <c r="D100" s="480"/>
      <c r="G100" s="728"/>
      <c r="T100" s="526"/>
      <c r="U100" s="526"/>
      <c r="V100" s="526"/>
      <c r="W100" s="526"/>
      <c r="X100" s="526"/>
      <c r="Y100" s="526"/>
      <c r="Z100" s="526"/>
      <c r="AA100" s="526"/>
    </row>
    <row r="101" spans="1:27">
      <c r="A101" s="406"/>
      <c r="B101" s="458" t="s">
        <v>90</v>
      </c>
      <c r="C101" s="472">
        <v>347</v>
      </c>
      <c r="D101" s="473" t="s">
        <v>24</v>
      </c>
      <c r="G101" s="728"/>
      <c r="T101" s="526"/>
      <c r="U101" s="526"/>
      <c r="V101" s="526"/>
      <c r="W101" s="526"/>
      <c r="X101" s="526"/>
      <c r="Y101" s="526"/>
      <c r="Z101" s="526"/>
      <c r="AA101" s="526"/>
    </row>
    <row r="102" spans="1:27">
      <c r="A102" s="406"/>
      <c r="B102" s="458" t="s">
        <v>130</v>
      </c>
      <c r="C102" s="472">
        <v>14.4</v>
      </c>
      <c r="D102" s="473" t="s">
        <v>31</v>
      </c>
      <c r="T102" s="526"/>
      <c r="U102" s="526"/>
      <c r="V102" s="526"/>
      <c r="W102" s="526"/>
      <c r="X102" s="526"/>
      <c r="Y102" s="526"/>
      <c r="Z102" s="526"/>
      <c r="AA102" s="526"/>
    </row>
    <row r="103" spans="1:27">
      <c r="A103" s="406"/>
      <c r="B103" s="458" t="s">
        <v>52</v>
      </c>
      <c r="C103" s="472">
        <f>1000*C102/100*0.156^2</f>
        <v>3.5043839999999999</v>
      </c>
      <c r="D103" s="473" t="s">
        <v>4</v>
      </c>
      <c r="T103" s="526"/>
      <c r="U103" s="526"/>
      <c r="V103" s="526"/>
      <c r="W103" s="526"/>
      <c r="X103" s="526"/>
      <c r="Y103" s="526"/>
      <c r="Z103" s="526"/>
      <c r="AA103" s="526"/>
    </row>
    <row r="104" spans="1:27">
      <c r="A104" s="406"/>
      <c r="B104" s="458" t="s">
        <v>30</v>
      </c>
      <c r="C104" s="636">
        <f>C101*10^6/(C102/100*1000)</f>
        <v>2409722.2222222215</v>
      </c>
      <c r="D104" s="473" t="s">
        <v>34</v>
      </c>
      <c r="T104" s="526"/>
      <c r="U104" s="526"/>
      <c r="V104" s="526"/>
      <c r="W104" s="526"/>
      <c r="X104" s="526"/>
      <c r="Y104" s="526"/>
      <c r="Z104" s="526"/>
      <c r="AA104" s="526"/>
    </row>
    <row r="105" spans="1:27">
      <c r="A105" s="406"/>
      <c r="B105" s="458" t="s">
        <v>91</v>
      </c>
      <c r="C105" s="593">
        <f>360*0.85</f>
        <v>306</v>
      </c>
      <c r="D105" s="473" t="s">
        <v>95</v>
      </c>
      <c r="F105" s="402"/>
      <c r="T105" s="526"/>
      <c r="U105" s="526"/>
      <c r="V105" s="526"/>
      <c r="W105" s="526"/>
      <c r="X105" s="526"/>
      <c r="Y105" s="526"/>
      <c r="Z105" s="526"/>
      <c r="AA105" s="526"/>
    </row>
    <row r="106" spans="1:27">
      <c r="A106" s="406"/>
      <c r="B106" s="458" t="s">
        <v>92</v>
      </c>
      <c r="C106" s="593">
        <f>150*0.6</f>
        <v>90</v>
      </c>
      <c r="D106" s="473" t="s">
        <v>95</v>
      </c>
      <c r="F106" s="402"/>
      <c r="T106" s="526"/>
      <c r="U106" s="526"/>
      <c r="V106" s="526"/>
      <c r="W106" s="526"/>
      <c r="X106" s="526"/>
      <c r="Y106" s="526"/>
      <c r="Z106" s="526"/>
      <c r="AA106" s="526"/>
    </row>
    <row r="107" spans="1:27">
      <c r="A107" s="406"/>
      <c r="B107" s="458" t="s">
        <v>93</v>
      </c>
      <c r="C107" s="593">
        <f>250*0.6</f>
        <v>150</v>
      </c>
      <c r="D107" s="473" t="s">
        <v>95</v>
      </c>
      <c r="T107" s="526"/>
      <c r="U107" s="526"/>
      <c r="V107" s="526"/>
      <c r="W107" s="526"/>
      <c r="X107" s="526"/>
      <c r="Y107" s="526"/>
      <c r="Z107" s="526"/>
      <c r="AA107" s="526"/>
    </row>
    <row r="108" spans="1:27">
      <c r="A108" s="406"/>
      <c r="B108" s="458" t="s">
        <v>94</v>
      </c>
      <c r="C108" s="593">
        <f>250*0.6</f>
        <v>150</v>
      </c>
      <c r="D108" s="473" t="s">
        <v>95</v>
      </c>
      <c r="L108" s="402"/>
      <c r="T108" s="526"/>
      <c r="U108" s="526"/>
      <c r="V108" s="526"/>
      <c r="W108" s="526"/>
      <c r="X108" s="526"/>
      <c r="Y108" s="526"/>
      <c r="Z108" s="526"/>
      <c r="AA108" s="526"/>
    </row>
    <row r="109" spans="1:27">
      <c r="A109" s="406"/>
      <c r="B109" s="458" t="s">
        <v>207</v>
      </c>
      <c r="C109" s="472">
        <f>SUM(C105:C108)/C101</f>
        <v>2.005763688760807</v>
      </c>
      <c r="D109" s="785" t="s">
        <v>210</v>
      </c>
      <c r="L109" s="402"/>
      <c r="T109" s="526"/>
      <c r="U109" s="526"/>
      <c r="V109" s="526"/>
      <c r="W109" s="526"/>
      <c r="X109" s="526"/>
      <c r="Y109" s="526"/>
      <c r="Z109" s="526"/>
      <c r="AA109" s="526"/>
    </row>
    <row r="110" spans="1:27">
      <c r="A110" s="406"/>
      <c r="B110" s="458" t="s">
        <v>96</v>
      </c>
      <c r="C110" s="472">
        <f>44*51</f>
        <v>2244</v>
      </c>
      <c r="D110" s="473" t="s">
        <v>97</v>
      </c>
      <c r="T110" s="526"/>
      <c r="U110" s="526"/>
      <c r="V110" s="526"/>
      <c r="W110" s="526"/>
      <c r="X110" s="526"/>
      <c r="Y110" s="526"/>
      <c r="Z110" s="526"/>
      <c r="AA110" s="526"/>
    </row>
    <row r="111" spans="1:27">
      <c r="A111" s="406"/>
      <c r="B111" s="458" t="s">
        <v>102</v>
      </c>
      <c r="C111" s="472">
        <f>(C105+C106)*C110/C104</f>
        <v>0.36876615561959664</v>
      </c>
      <c r="D111" s="473" t="s">
        <v>98</v>
      </c>
      <c r="T111" s="526"/>
      <c r="U111" s="526"/>
      <c r="V111" s="526"/>
      <c r="W111" s="526"/>
      <c r="X111" s="526"/>
      <c r="Y111" s="526"/>
      <c r="Z111" s="526"/>
      <c r="AA111" s="526"/>
    </row>
    <row r="112" spans="1:27">
      <c r="A112" s="406"/>
      <c r="B112" s="458" t="s">
        <v>103</v>
      </c>
      <c r="C112" s="472">
        <f>C107*C110/C104</f>
        <v>0.13968414985590782</v>
      </c>
      <c r="D112" s="473" t="s">
        <v>98</v>
      </c>
      <c r="T112" s="526"/>
      <c r="U112" s="526"/>
      <c r="V112" s="526"/>
      <c r="W112" s="526"/>
      <c r="X112" s="526"/>
      <c r="Y112" s="526"/>
      <c r="Z112" s="526"/>
      <c r="AA112" s="526"/>
    </row>
    <row r="113" spans="1:27">
      <c r="A113" s="406"/>
      <c r="B113" s="458" t="s">
        <v>104</v>
      </c>
      <c r="C113" s="472">
        <f>C108*C110/C104</f>
        <v>0.13968414985590782</v>
      </c>
      <c r="D113" s="473" t="s">
        <v>98</v>
      </c>
      <c r="T113" s="526"/>
      <c r="U113" s="526"/>
      <c r="V113" s="526"/>
      <c r="W113" s="526"/>
      <c r="X113" s="526"/>
      <c r="Y113" s="526"/>
      <c r="Z113" s="526"/>
      <c r="AA113" s="526"/>
    </row>
    <row r="114" spans="1:27">
      <c r="A114" s="406"/>
      <c r="B114" s="458" t="s">
        <v>99</v>
      </c>
      <c r="C114" s="472">
        <f>C111*C18</f>
        <v>9.0393803896253626</v>
      </c>
      <c r="D114" s="473" t="s">
        <v>35</v>
      </c>
      <c r="T114" s="526"/>
      <c r="U114" s="526"/>
      <c r="V114" s="526"/>
      <c r="W114" s="526"/>
      <c r="X114" s="526"/>
      <c r="Y114" s="526"/>
      <c r="Z114" s="526"/>
      <c r="AA114" s="526"/>
    </row>
    <row r="115" spans="1:27">
      <c r="A115" s="406"/>
      <c r="B115" s="458" t="s">
        <v>100</v>
      </c>
      <c r="C115" s="472">
        <f>C112*C18</f>
        <v>3.4240077233429402</v>
      </c>
      <c r="D115" s="473" t="s">
        <v>35</v>
      </c>
      <c r="T115" s="526"/>
      <c r="U115" s="526"/>
      <c r="V115" s="526"/>
      <c r="W115" s="526"/>
      <c r="X115" s="526"/>
      <c r="Y115" s="526"/>
      <c r="Z115" s="526"/>
      <c r="AA115" s="526"/>
    </row>
    <row r="116" spans="1:27">
      <c r="A116" s="406"/>
      <c r="B116" s="458" t="s">
        <v>101</v>
      </c>
      <c r="C116" s="472">
        <f>C113*C18</f>
        <v>3.4240077233429402</v>
      </c>
      <c r="D116" s="473" t="s">
        <v>35</v>
      </c>
      <c r="T116" s="526"/>
      <c r="U116" s="526"/>
      <c r="V116" s="526"/>
      <c r="W116" s="526"/>
      <c r="X116" s="526"/>
      <c r="Y116" s="526"/>
      <c r="Z116" s="526"/>
      <c r="AA116" s="526"/>
    </row>
    <row r="117" spans="1:27">
      <c r="A117" s="406"/>
      <c r="B117" s="458" t="s">
        <v>140</v>
      </c>
      <c r="C117" s="472">
        <f>1000*C14/100</f>
        <v>205</v>
      </c>
      <c r="D117" s="473" t="s">
        <v>105</v>
      </c>
      <c r="T117" s="526"/>
      <c r="U117" s="526"/>
      <c r="V117" s="526"/>
      <c r="W117" s="526"/>
      <c r="X117" s="526"/>
      <c r="Y117" s="526"/>
      <c r="Z117" s="526"/>
      <c r="AA117" s="526"/>
    </row>
    <row r="118" spans="1:27">
      <c r="A118" s="406"/>
      <c r="B118" s="594" t="s">
        <v>106</v>
      </c>
      <c r="C118" s="599">
        <f>C114/C117</f>
        <v>4.4094538485977379E-2</v>
      </c>
      <c r="D118" s="595" t="s">
        <v>3</v>
      </c>
      <c r="T118" s="526"/>
      <c r="U118" s="526"/>
      <c r="V118" s="526"/>
      <c r="W118" s="526"/>
      <c r="X118" s="526"/>
      <c r="Y118" s="526"/>
      <c r="Z118" s="526"/>
      <c r="AA118" s="526"/>
    </row>
    <row r="119" spans="1:27">
      <c r="A119" s="406"/>
      <c r="B119" s="594" t="s">
        <v>107</v>
      </c>
      <c r="C119" s="599">
        <f>C115/C117</f>
        <v>1.6702476699233856E-2</v>
      </c>
      <c r="D119" s="595" t="s">
        <v>3</v>
      </c>
      <c r="T119" s="526"/>
      <c r="U119" s="526"/>
      <c r="V119" s="526"/>
      <c r="W119" s="526"/>
      <c r="X119" s="526"/>
      <c r="Y119" s="526"/>
      <c r="Z119" s="526"/>
      <c r="AA119" s="526"/>
    </row>
    <row r="120" spans="1:27">
      <c r="A120" s="406"/>
      <c r="B120" s="594" t="s">
        <v>108</v>
      </c>
      <c r="C120" s="599">
        <f>C116/C117</f>
        <v>1.6702476699233856E-2</v>
      </c>
      <c r="D120" s="595" t="s">
        <v>3</v>
      </c>
      <c r="T120" s="526"/>
      <c r="U120" s="526"/>
      <c r="V120" s="526"/>
      <c r="W120" s="526"/>
      <c r="X120" s="526"/>
      <c r="Y120" s="526"/>
      <c r="Z120" s="526"/>
      <c r="AA120" s="526"/>
    </row>
    <row r="121" spans="1:27">
      <c r="A121" s="406"/>
      <c r="B121" s="527" t="s">
        <v>53</v>
      </c>
      <c r="C121" s="600">
        <f>SUM(C118:C120)</f>
        <v>7.749949188444509E-2</v>
      </c>
      <c r="D121" s="528" t="s">
        <v>3</v>
      </c>
      <c r="F121" s="404"/>
      <c r="H121" s="404"/>
      <c r="T121" s="526"/>
      <c r="U121" s="526"/>
      <c r="V121" s="526"/>
      <c r="W121" s="526"/>
      <c r="X121" s="526"/>
      <c r="Y121" s="526"/>
      <c r="Z121" s="526"/>
      <c r="AA121" s="526"/>
    </row>
    <row r="122" spans="1:27">
      <c r="A122" s="406"/>
      <c r="T122" s="526"/>
      <c r="U122" s="526"/>
      <c r="V122" s="526"/>
      <c r="W122" s="526"/>
      <c r="X122" s="526"/>
      <c r="Y122" s="526"/>
      <c r="Z122" s="526"/>
      <c r="AA122" s="526"/>
    </row>
    <row r="123" spans="1:27">
      <c r="A123" s="406"/>
      <c r="B123" s="475" t="s">
        <v>28</v>
      </c>
      <c r="C123" s="476"/>
      <c r="D123" s="477"/>
      <c r="T123" s="526"/>
      <c r="U123" s="526"/>
      <c r="V123" s="526"/>
      <c r="W123" s="526"/>
      <c r="X123" s="526"/>
      <c r="Y123" s="526"/>
      <c r="Z123" s="526"/>
      <c r="AA123" s="526"/>
    </row>
    <row r="124" spans="1:27">
      <c r="A124" s="406"/>
      <c r="B124" s="441" t="s">
        <v>130</v>
      </c>
      <c r="C124" s="784">
        <v>14.4</v>
      </c>
      <c r="D124" s="474" t="s">
        <v>1</v>
      </c>
      <c r="T124" s="526"/>
      <c r="U124" s="526"/>
      <c r="V124" s="526"/>
      <c r="W124" s="526"/>
      <c r="X124" s="526"/>
      <c r="Y124" s="526"/>
      <c r="Z124" s="526"/>
      <c r="AA124" s="526"/>
    </row>
    <row r="125" spans="1:27">
      <c r="A125" s="406"/>
      <c r="B125" s="441" t="s">
        <v>212</v>
      </c>
      <c r="C125" s="784">
        <f>25.9</f>
        <v>25.9</v>
      </c>
      <c r="D125" s="474" t="s">
        <v>86</v>
      </c>
      <c r="T125" s="526"/>
      <c r="U125" s="526"/>
      <c r="V125" s="526"/>
      <c r="W125" s="526"/>
      <c r="X125" s="526"/>
      <c r="Y125" s="526"/>
      <c r="Z125" s="526"/>
      <c r="AA125" s="526"/>
    </row>
    <row r="126" spans="1:27">
      <c r="A126" s="406"/>
      <c r="B126" s="441" t="s">
        <v>212</v>
      </c>
      <c r="C126" s="570">
        <f>C125*C66*C54*(1/C57)</f>
        <v>1.454899159891599E-2</v>
      </c>
      <c r="D126" s="474" t="s">
        <v>25</v>
      </c>
      <c r="T126" s="526"/>
      <c r="U126" s="526"/>
      <c r="V126" s="526"/>
      <c r="W126" s="526"/>
      <c r="X126" s="526"/>
      <c r="Y126" s="526"/>
      <c r="Z126" s="526"/>
      <c r="AA126" s="526"/>
    </row>
    <row r="127" spans="1:27">
      <c r="A127" s="406"/>
      <c r="B127" s="441" t="s">
        <v>213</v>
      </c>
      <c r="C127" s="874">
        <f>0.2*0.2</f>
        <v>4.0000000000000008E-2</v>
      </c>
      <c r="D127" s="474" t="s">
        <v>25</v>
      </c>
      <c r="E127" s="402"/>
      <c r="T127" s="526"/>
      <c r="U127" s="526"/>
      <c r="V127" s="526"/>
      <c r="W127" s="526"/>
      <c r="X127" s="526"/>
      <c r="Y127" s="526"/>
      <c r="Z127" s="526"/>
      <c r="AA127" s="526"/>
    </row>
    <row r="128" spans="1:27">
      <c r="A128" s="406"/>
      <c r="B128" s="441" t="s">
        <v>214</v>
      </c>
      <c r="C128" s="570">
        <v>0.34</v>
      </c>
      <c r="D128" s="474" t="s">
        <v>25</v>
      </c>
      <c r="E128" s="402"/>
      <c r="T128" s="526"/>
      <c r="U128" s="526"/>
      <c r="V128" s="526"/>
      <c r="W128" s="526"/>
      <c r="X128" s="526"/>
      <c r="Y128" s="526"/>
      <c r="Z128" s="526"/>
      <c r="AA128" s="526"/>
    </row>
    <row r="129" spans="1:27">
      <c r="A129" s="406"/>
      <c r="B129" s="441" t="s">
        <v>215</v>
      </c>
      <c r="C129" s="570">
        <v>0.05</v>
      </c>
      <c r="D129" s="474" t="s">
        <v>25</v>
      </c>
      <c r="E129" s="402"/>
      <c r="T129" s="526"/>
      <c r="U129" s="526"/>
      <c r="V129" s="526"/>
      <c r="W129" s="526"/>
      <c r="X129" s="526"/>
      <c r="Y129" s="526"/>
      <c r="Z129" s="526"/>
      <c r="AA129" s="526"/>
    </row>
    <row r="130" spans="1:27">
      <c r="A130" s="406"/>
      <c r="B130" s="596" t="s">
        <v>87</v>
      </c>
      <c r="C130" s="597">
        <f>C19*(C126+C127)*(C124/C14)</f>
        <v>3.4485606396192753E-3</v>
      </c>
      <c r="D130" s="598" t="s">
        <v>0</v>
      </c>
      <c r="T130" s="526"/>
      <c r="U130" s="526"/>
      <c r="V130" s="526"/>
      <c r="W130" s="526"/>
      <c r="X130" s="526"/>
      <c r="Y130" s="526"/>
      <c r="Z130" s="526"/>
      <c r="AA130" s="526"/>
    </row>
    <row r="131" spans="1:27">
      <c r="A131" s="406"/>
      <c r="B131" s="596" t="s">
        <v>89</v>
      </c>
      <c r="C131" s="597">
        <f>C19*C128*(C124/C14)</f>
        <v>2.1494634146341469E-2</v>
      </c>
      <c r="D131" s="598" t="s">
        <v>0</v>
      </c>
      <c r="T131" s="526"/>
      <c r="U131" s="526"/>
      <c r="V131" s="526"/>
      <c r="W131" s="526"/>
      <c r="X131" s="526"/>
      <c r="Y131" s="526"/>
      <c r="Z131" s="526"/>
      <c r="AA131" s="526"/>
    </row>
    <row r="132" spans="1:27">
      <c r="A132" s="406"/>
      <c r="B132" s="596" t="s">
        <v>141</v>
      </c>
      <c r="C132" s="597">
        <f>C19*C129*(C124/C14)</f>
        <v>3.1609756097560975E-3</v>
      </c>
      <c r="D132" s="598" t="s">
        <v>0</v>
      </c>
      <c r="T132" s="526"/>
      <c r="U132" s="526"/>
      <c r="V132" s="526"/>
      <c r="W132" s="526"/>
      <c r="X132" s="526"/>
      <c r="Y132" s="526"/>
      <c r="Z132" s="526"/>
      <c r="AA132" s="526"/>
    </row>
    <row r="133" spans="1:27">
      <c r="A133" s="406"/>
      <c r="B133" s="529" t="s">
        <v>88</v>
      </c>
      <c r="C133" s="590">
        <f>SUM(C130:C132)</f>
        <v>2.8104170395716839E-2</v>
      </c>
      <c r="D133" s="530" t="s">
        <v>0</v>
      </c>
      <c r="T133" s="526"/>
      <c r="U133" s="526"/>
      <c r="V133" s="526"/>
      <c r="W133" s="526"/>
      <c r="X133" s="526"/>
      <c r="Y133" s="526"/>
      <c r="Z133" s="526"/>
      <c r="AA133" s="526"/>
    </row>
    <row r="134" spans="1:27">
      <c r="A134" s="406"/>
      <c r="F134" s="404"/>
      <c r="T134" s="526"/>
      <c r="U134" s="526"/>
      <c r="V134" s="526"/>
      <c r="W134" s="526"/>
      <c r="X134" s="526"/>
      <c r="Y134" s="526"/>
      <c r="Z134" s="526"/>
      <c r="AA134" s="526"/>
    </row>
    <row r="135" spans="1:27">
      <c r="A135" s="406"/>
      <c r="B135" s="501" t="s">
        <v>38</v>
      </c>
      <c r="C135" s="502"/>
      <c r="D135" s="503"/>
      <c r="T135" s="526"/>
      <c r="U135" s="526"/>
      <c r="V135" s="526"/>
      <c r="W135" s="526"/>
      <c r="X135" s="526"/>
      <c r="Y135" s="526"/>
      <c r="Z135" s="526"/>
      <c r="AA135" s="526"/>
    </row>
    <row r="136" spans="1:27">
      <c r="A136" s="406"/>
      <c r="B136" s="465" t="s">
        <v>113</v>
      </c>
      <c r="C136" s="500">
        <v>0.97</v>
      </c>
      <c r="D136" s="499" t="s">
        <v>31</v>
      </c>
      <c r="T136" s="526"/>
      <c r="U136" s="526"/>
      <c r="V136" s="526"/>
      <c r="W136" s="526"/>
      <c r="X136" s="526"/>
      <c r="Y136" s="526"/>
      <c r="Z136" s="526"/>
      <c r="AA136" s="526"/>
    </row>
    <row r="137" spans="1:27">
      <c r="A137" s="406"/>
      <c r="B137" s="465" t="s">
        <v>114</v>
      </c>
      <c r="C137" s="500">
        <f>0.965*1</f>
        <v>0.96499999999999997</v>
      </c>
      <c r="D137" s="499" t="s">
        <v>31</v>
      </c>
      <c r="T137" s="526"/>
      <c r="U137" s="526"/>
      <c r="V137" s="526"/>
      <c r="W137" s="526"/>
      <c r="X137" s="526"/>
      <c r="Y137" s="526"/>
      <c r="Z137" s="526"/>
      <c r="AA137" s="526"/>
    </row>
    <row r="138" spans="1:27">
      <c r="A138" s="406"/>
      <c r="B138" s="465" t="s">
        <v>115</v>
      </c>
      <c r="C138" s="500">
        <f>0.98*1</f>
        <v>0.98</v>
      </c>
      <c r="D138" s="499" t="s">
        <v>31</v>
      </c>
      <c r="T138" s="526"/>
      <c r="U138" s="526"/>
      <c r="V138" s="526"/>
      <c r="W138" s="526"/>
      <c r="X138" s="526"/>
      <c r="Y138" s="526"/>
      <c r="Z138" s="526"/>
      <c r="AA138" s="526"/>
    </row>
    <row r="139" spans="1:27">
      <c r="A139" s="406"/>
      <c r="B139" s="465" t="s">
        <v>123</v>
      </c>
      <c r="C139" s="500">
        <v>1</v>
      </c>
      <c r="D139" s="499" t="s">
        <v>31</v>
      </c>
      <c r="T139" s="526"/>
      <c r="U139" s="526"/>
      <c r="V139" s="526"/>
      <c r="W139" s="526"/>
      <c r="X139" s="526"/>
      <c r="Y139" s="526"/>
      <c r="Z139" s="526"/>
      <c r="AA139" s="526"/>
    </row>
    <row r="140" spans="1:27">
      <c r="A140" s="406"/>
      <c r="B140" s="465" t="s">
        <v>116</v>
      </c>
      <c r="C140" s="500">
        <f>(J31+J32+J35+J34+J28+J29+J30)</f>
        <v>0.15261137747209064</v>
      </c>
      <c r="D140" s="499" t="s">
        <v>3</v>
      </c>
      <c r="T140" s="526"/>
      <c r="U140" s="526"/>
      <c r="V140" s="526"/>
      <c r="W140" s="526"/>
      <c r="X140" s="526"/>
      <c r="Y140" s="526"/>
      <c r="Z140" s="526"/>
      <c r="AA140" s="526"/>
    </row>
    <row r="141" spans="1:27">
      <c r="A141" s="406"/>
      <c r="B141" s="465" t="s">
        <v>117</v>
      </c>
      <c r="C141" s="500">
        <f>C140+(K31+K32+K33+K40+K45+K29+K30)</f>
        <v>0.33382554360713013</v>
      </c>
      <c r="D141" s="499" t="s">
        <v>3</v>
      </c>
      <c r="T141" s="526"/>
      <c r="U141" s="526"/>
      <c r="V141" s="526"/>
      <c r="W141" s="526"/>
      <c r="X141" s="526"/>
      <c r="Y141" s="526"/>
      <c r="Z141" s="526"/>
      <c r="AA141" s="526"/>
    </row>
    <row r="142" spans="1:27">
      <c r="A142" s="406"/>
      <c r="B142" s="465" t="s">
        <v>118</v>
      </c>
      <c r="C142" s="500">
        <f>C141+(L31+L32+L36+L37+L38+L39+L41+L43+L44+L29+L30)</f>
        <v>0.58356492719389708</v>
      </c>
      <c r="D142" s="499" t="s">
        <v>3</v>
      </c>
      <c r="T142" s="526"/>
      <c r="U142" s="526"/>
      <c r="V142" s="526"/>
      <c r="W142" s="526"/>
      <c r="X142" s="526"/>
      <c r="Y142" s="526"/>
      <c r="Z142" s="526"/>
      <c r="AA142" s="526"/>
    </row>
    <row r="143" spans="1:27">
      <c r="A143" s="406"/>
      <c r="B143" s="465" t="s">
        <v>124</v>
      </c>
      <c r="C143" s="500">
        <f>SUM(H28,H30:H41,H43:H45)+(H46+H47)+H29</f>
        <v>0.58356492719389697</v>
      </c>
      <c r="D143" s="499" t="s">
        <v>3</v>
      </c>
      <c r="T143" s="526"/>
      <c r="U143" s="526"/>
      <c r="V143" s="526"/>
      <c r="W143" s="526"/>
      <c r="X143" s="526"/>
      <c r="Y143" s="526"/>
      <c r="Z143" s="526"/>
      <c r="AA143" s="526"/>
    </row>
    <row r="144" spans="1:27">
      <c r="A144" s="406"/>
      <c r="B144" s="631" t="s">
        <v>119</v>
      </c>
      <c r="C144" s="624">
        <f>C140/C136-C140</f>
        <v>4.7199395094461027E-3</v>
      </c>
      <c r="D144" s="632" t="s">
        <v>3</v>
      </c>
      <c r="T144" s="526"/>
      <c r="U144" s="526"/>
      <c r="V144" s="526"/>
      <c r="W144" s="526"/>
      <c r="X144" s="526"/>
      <c r="Y144" s="526"/>
      <c r="Z144" s="526"/>
      <c r="AA144" s="526"/>
    </row>
    <row r="145" spans="1:27">
      <c r="A145" s="406"/>
      <c r="B145" s="631" t="s">
        <v>120</v>
      </c>
      <c r="C145" s="624">
        <f>C141/C137-C141</f>
        <v>1.2107662203367398E-2</v>
      </c>
      <c r="D145" s="632" t="s">
        <v>3</v>
      </c>
      <c r="T145" s="526"/>
      <c r="U145" s="526"/>
      <c r="V145" s="526"/>
      <c r="W145" s="526"/>
      <c r="X145" s="526"/>
      <c r="Y145" s="526"/>
      <c r="Z145" s="526"/>
      <c r="AA145" s="526"/>
    </row>
    <row r="146" spans="1:27">
      <c r="A146" s="406"/>
      <c r="B146" s="631" t="s">
        <v>121</v>
      </c>
      <c r="C146" s="624">
        <f>C142/C138-C142</f>
        <v>1.1909488310079541E-2</v>
      </c>
      <c r="D146" s="632" t="s">
        <v>3</v>
      </c>
      <c r="T146" s="526"/>
      <c r="U146" s="526"/>
      <c r="V146" s="526"/>
      <c r="W146" s="526"/>
      <c r="X146" s="526"/>
      <c r="Y146" s="526"/>
      <c r="Z146" s="526"/>
      <c r="AA146" s="526"/>
    </row>
    <row r="147" spans="1:27">
      <c r="A147" s="406"/>
      <c r="B147" s="631" t="s">
        <v>125</v>
      </c>
      <c r="C147" s="624">
        <f>C143/C139-C143</f>
        <v>0</v>
      </c>
      <c r="D147" s="632" t="s">
        <v>3</v>
      </c>
      <c r="T147" s="526"/>
      <c r="U147" s="526"/>
      <c r="V147" s="526"/>
      <c r="W147" s="526"/>
      <c r="X147" s="526"/>
      <c r="Y147" s="526"/>
      <c r="Z147" s="526"/>
      <c r="AA147" s="526"/>
    </row>
    <row r="148" spans="1:27">
      <c r="A148" s="406"/>
      <c r="B148" s="534" t="s">
        <v>122</v>
      </c>
      <c r="C148" s="535">
        <f>SUM(C144:C147)</f>
        <v>2.8737090022893041E-2</v>
      </c>
      <c r="D148" s="536" t="s">
        <v>3</v>
      </c>
      <c r="T148" s="526"/>
      <c r="U148" s="526"/>
      <c r="V148" s="526"/>
      <c r="W148" s="526"/>
      <c r="X148" s="526"/>
      <c r="Y148" s="526"/>
      <c r="Z148" s="526"/>
      <c r="AA148" s="526"/>
    </row>
    <row r="149" spans="1:27">
      <c r="A149" s="406"/>
      <c r="T149" s="526"/>
      <c r="U149" s="526"/>
      <c r="V149" s="526"/>
      <c r="W149" s="526"/>
      <c r="X149" s="526"/>
      <c r="Y149" s="526"/>
      <c r="Z149" s="526"/>
      <c r="AA149" s="526"/>
    </row>
    <row r="150" spans="1:27">
      <c r="A150" s="406"/>
      <c r="B150" s="768" t="s">
        <v>29</v>
      </c>
      <c r="C150" s="769"/>
      <c r="D150" s="770"/>
      <c r="T150" s="526"/>
      <c r="U150" s="526"/>
      <c r="V150" s="526"/>
      <c r="W150" s="526"/>
      <c r="X150" s="526"/>
      <c r="Y150" s="526"/>
      <c r="Z150" s="526"/>
      <c r="AA150" s="526"/>
    </row>
    <row r="151" spans="1:27">
      <c r="A151" s="406"/>
      <c r="B151" s="771" t="s">
        <v>195</v>
      </c>
      <c r="C151" s="769">
        <f>0.15</f>
        <v>0.15</v>
      </c>
      <c r="D151" s="770" t="s">
        <v>35</v>
      </c>
      <c r="T151" s="526"/>
      <c r="U151" s="526"/>
      <c r="V151" s="526"/>
      <c r="W151" s="526"/>
      <c r="X151" s="526"/>
      <c r="Y151" s="526"/>
      <c r="Z151" s="526"/>
      <c r="AA151" s="526"/>
    </row>
    <row r="152" spans="1:27">
      <c r="A152" s="406"/>
      <c r="B152" s="790" t="s">
        <v>29</v>
      </c>
      <c r="C152" s="789">
        <f>3*C151*C56</f>
        <v>0.88593977528089884</v>
      </c>
      <c r="D152" s="791" t="s">
        <v>208</v>
      </c>
      <c r="T152" s="526"/>
      <c r="U152" s="526"/>
      <c r="V152" s="526"/>
      <c r="W152" s="526"/>
      <c r="X152" s="526"/>
      <c r="Y152" s="526"/>
      <c r="Z152" s="526"/>
      <c r="AA152" s="526"/>
    </row>
    <row r="153" spans="1:27">
      <c r="A153" s="406"/>
      <c r="B153" s="531" t="s">
        <v>209</v>
      </c>
      <c r="C153" s="532">
        <f>C152/C57</f>
        <v>2.1951219512195124E-3</v>
      </c>
      <c r="D153" s="533" t="s">
        <v>3</v>
      </c>
      <c r="T153" s="526"/>
      <c r="U153" s="526"/>
      <c r="V153" s="526"/>
      <c r="W153" s="526"/>
      <c r="X153" s="526"/>
      <c r="Y153" s="526"/>
      <c r="Z153" s="526"/>
      <c r="AA153" s="526"/>
    </row>
    <row r="154" spans="1:27">
      <c r="A154" s="406"/>
      <c r="B154" s="408"/>
      <c r="C154" s="720"/>
      <c r="D154" s="408"/>
      <c r="T154" s="526"/>
      <c r="U154" s="526"/>
      <c r="V154" s="526"/>
      <c r="W154" s="526"/>
      <c r="X154" s="526"/>
      <c r="Y154" s="526"/>
      <c r="Z154" s="526"/>
      <c r="AA154" s="526"/>
    </row>
    <row r="155" spans="1:27">
      <c r="A155" s="406"/>
      <c r="B155" s="729" t="s">
        <v>42</v>
      </c>
      <c r="C155" s="730"/>
      <c r="D155" s="731"/>
      <c r="T155" s="526"/>
      <c r="U155" s="526"/>
      <c r="V155" s="526"/>
      <c r="W155" s="526"/>
      <c r="X155" s="526"/>
      <c r="Y155" s="526"/>
      <c r="Z155" s="526"/>
      <c r="AA155" s="526"/>
    </row>
    <row r="156" spans="1:27">
      <c r="A156" s="406"/>
      <c r="B156" s="798" t="s">
        <v>228</v>
      </c>
      <c r="C156" s="799">
        <v>300</v>
      </c>
      <c r="D156" s="800" t="s">
        <v>17</v>
      </c>
      <c r="T156" s="526"/>
      <c r="U156" s="526"/>
      <c r="V156" s="526"/>
      <c r="W156" s="526"/>
      <c r="X156" s="526"/>
      <c r="Y156" s="526"/>
      <c r="Z156" s="526"/>
      <c r="AA156" s="526"/>
    </row>
    <row r="157" spans="1:27">
      <c r="A157" s="406"/>
      <c r="B157" s="736" t="s">
        <v>229</v>
      </c>
      <c r="C157" s="797">
        <v>0.22500000000000001</v>
      </c>
      <c r="D157" s="732" t="s">
        <v>188</v>
      </c>
      <c r="T157" s="526"/>
      <c r="U157" s="526"/>
      <c r="V157" s="526"/>
      <c r="W157" s="526"/>
      <c r="X157" s="526"/>
      <c r="Y157" s="526"/>
      <c r="Z157" s="526"/>
      <c r="AA157" s="526"/>
    </row>
    <row r="158" spans="1:27">
      <c r="A158" s="406"/>
      <c r="B158" s="801" t="s">
        <v>228</v>
      </c>
      <c r="C158" s="802">
        <f>C156*C157/1000</f>
        <v>6.7500000000000004E-2</v>
      </c>
      <c r="D158" s="803" t="s">
        <v>21</v>
      </c>
      <c r="T158" s="526"/>
      <c r="U158" s="526"/>
      <c r="V158" s="526"/>
      <c r="W158" s="526"/>
      <c r="X158" s="526"/>
      <c r="Y158" s="526"/>
      <c r="Z158" s="526"/>
      <c r="AA158" s="526"/>
    </row>
    <row r="159" spans="1:27">
      <c r="A159" s="406"/>
      <c r="B159" s="736" t="s">
        <v>230</v>
      </c>
      <c r="C159" s="797">
        <v>150</v>
      </c>
      <c r="D159" s="732" t="s">
        <v>17</v>
      </c>
      <c r="T159" s="526"/>
      <c r="U159" s="526"/>
      <c r="V159" s="526"/>
      <c r="W159" s="526"/>
      <c r="X159" s="526"/>
      <c r="Y159" s="526"/>
      <c r="Z159" s="526"/>
      <c r="AA159" s="526"/>
    </row>
    <row r="160" spans="1:27">
      <c r="A160" s="406"/>
      <c r="B160" s="736" t="s">
        <v>231</v>
      </c>
      <c r="C160" s="797">
        <v>1</v>
      </c>
      <c r="D160" s="732" t="s">
        <v>188</v>
      </c>
      <c r="T160" s="526"/>
      <c r="U160" s="526"/>
      <c r="V160" s="526"/>
      <c r="W160" s="526"/>
      <c r="X160" s="526"/>
      <c r="Y160" s="526"/>
      <c r="Z160" s="526"/>
      <c r="AA160" s="526"/>
    </row>
    <row r="161" spans="1:27">
      <c r="A161" s="406"/>
      <c r="B161" s="801" t="s">
        <v>230</v>
      </c>
      <c r="C161" s="802">
        <f>C159*C160/1000</f>
        <v>0.15</v>
      </c>
      <c r="D161" s="803" t="s">
        <v>21</v>
      </c>
      <c r="T161" s="526"/>
      <c r="U161" s="526"/>
      <c r="V161" s="526"/>
      <c r="W161" s="526"/>
      <c r="X161" s="526"/>
      <c r="Y161" s="526"/>
      <c r="Z161" s="526"/>
      <c r="AA161" s="526"/>
    </row>
    <row r="162" spans="1:27">
      <c r="A162" s="406"/>
      <c r="B162" s="786" t="s">
        <v>189</v>
      </c>
      <c r="C162" s="787">
        <f>C158+C161</f>
        <v>0.2175</v>
      </c>
      <c r="D162" s="788" t="s">
        <v>21</v>
      </c>
      <c r="T162" s="526"/>
      <c r="U162" s="526"/>
      <c r="V162" s="526"/>
      <c r="W162" s="526"/>
      <c r="X162" s="526"/>
      <c r="Y162" s="526"/>
      <c r="Z162" s="526"/>
      <c r="AA162" s="526"/>
    </row>
    <row r="163" spans="1:27">
      <c r="A163" s="406"/>
      <c r="T163" s="526"/>
      <c r="U163" s="526"/>
      <c r="V163" s="526"/>
      <c r="W163" s="526"/>
      <c r="X163" s="526"/>
      <c r="Y163" s="526"/>
      <c r="Z163" s="526"/>
      <c r="AA163" s="526"/>
    </row>
    <row r="164" spans="1:27">
      <c r="A164" s="406"/>
      <c r="B164" s="512" t="s">
        <v>66</v>
      </c>
      <c r="C164" s="513"/>
      <c r="D164" s="513"/>
      <c r="E164" s="513"/>
      <c r="F164" s="513"/>
      <c r="G164" s="898"/>
      <c r="H164" s="861"/>
      <c r="I164" s="861"/>
      <c r="J164" s="861"/>
      <c r="T164" s="526"/>
      <c r="U164" s="526"/>
      <c r="V164" s="526"/>
      <c r="W164" s="526"/>
      <c r="X164" s="526"/>
      <c r="Y164" s="526"/>
      <c r="Z164" s="526"/>
      <c r="AA164" s="526"/>
    </row>
    <row r="165" spans="1:27">
      <c r="A165" s="406"/>
      <c r="B165" s="507" t="s">
        <v>219</v>
      </c>
      <c r="C165" s="509">
        <v>60</v>
      </c>
      <c r="D165" s="509" t="s">
        <v>31</v>
      </c>
      <c r="E165" s="509"/>
      <c r="F165" s="509"/>
      <c r="G165" s="898"/>
      <c r="H165" s="861"/>
      <c r="I165" s="861"/>
      <c r="J165" s="861"/>
      <c r="T165" s="526"/>
      <c r="U165" s="526"/>
      <c r="V165" s="526"/>
      <c r="W165" s="526"/>
      <c r="X165" s="526"/>
      <c r="Y165" s="526"/>
      <c r="Z165" s="526"/>
      <c r="AA165" s="526"/>
    </row>
    <row r="166" spans="1:27">
      <c r="A166" s="406"/>
      <c r="B166" s="507" t="s">
        <v>220</v>
      </c>
      <c r="C166" s="509">
        <v>1.6</v>
      </c>
      <c r="D166" s="509" t="s">
        <v>127</v>
      </c>
      <c r="E166" s="509"/>
      <c r="F166" s="509"/>
      <c r="G166" s="898"/>
      <c r="H166" s="861"/>
      <c r="I166" s="861"/>
      <c r="J166" s="861"/>
      <c r="T166" s="526"/>
      <c r="U166" s="526"/>
      <c r="V166" s="526"/>
      <c r="W166" s="526"/>
      <c r="X166" s="526"/>
      <c r="Y166" s="526"/>
      <c r="Z166" s="526"/>
      <c r="AA166" s="526"/>
    </row>
    <row r="167" spans="1:27">
      <c r="A167" s="406"/>
      <c r="B167" s="507"/>
      <c r="C167" s="906" t="s">
        <v>260</v>
      </c>
      <c r="D167" s="904" t="s">
        <v>261</v>
      </c>
      <c r="E167" s="904" t="s">
        <v>8</v>
      </c>
      <c r="F167" s="509"/>
      <c r="G167" s="898"/>
      <c r="H167" s="861"/>
      <c r="I167" s="861"/>
      <c r="J167" s="861"/>
      <c r="T167" s="526"/>
      <c r="U167" s="526"/>
      <c r="V167" s="526"/>
      <c r="W167" s="526"/>
      <c r="X167" s="526"/>
      <c r="Y167" s="526"/>
      <c r="Z167" s="526"/>
      <c r="AA167" s="526"/>
    </row>
    <row r="168" spans="1:27">
      <c r="A168" s="406"/>
      <c r="B168" s="507" t="s">
        <v>216</v>
      </c>
      <c r="C168" s="901">
        <v>15</v>
      </c>
      <c r="D168" s="899">
        <f>(($C$56-$C$166)*2+(1.6*2+1*2))/(1.6*2+1*2)*C168</f>
        <v>17.127433016421783</v>
      </c>
      <c r="E168" s="899">
        <f>D168/$C$57</f>
        <v>4.2437200847505373E-2</v>
      </c>
      <c r="F168" s="509"/>
      <c r="G168" s="898"/>
      <c r="H168" s="861"/>
      <c r="I168" s="861"/>
      <c r="J168" s="861"/>
      <c r="T168" s="526"/>
      <c r="U168" s="526"/>
      <c r="V168" s="526"/>
      <c r="W168" s="526"/>
      <c r="X168" s="526"/>
      <c r="Y168" s="526"/>
      <c r="Z168" s="526"/>
      <c r="AA168" s="526"/>
    </row>
    <row r="169" spans="1:27">
      <c r="A169" s="406"/>
      <c r="B169" s="507" t="s">
        <v>217</v>
      </c>
      <c r="C169" s="901">
        <v>11.5</v>
      </c>
      <c r="D169" s="899">
        <f>C169*$C$56/$C$166</f>
        <v>14.150426966292136</v>
      </c>
      <c r="E169" s="899">
        <f t="shared" ref="E169:E173" si="4">D169/$C$57</f>
        <v>3.5060975609756101E-2</v>
      </c>
      <c r="F169" s="509"/>
      <c r="G169" s="898"/>
      <c r="H169" s="861"/>
      <c r="I169" s="861"/>
      <c r="J169" s="861"/>
      <c r="T169" s="526"/>
      <c r="U169" s="526"/>
      <c r="V169" s="526"/>
      <c r="W169" s="526"/>
      <c r="X169" s="526"/>
      <c r="Y169" s="526"/>
      <c r="Z169" s="526"/>
      <c r="AA169" s="526"/>
    </row>
    <row r="170" spans="1:27">
      <c r="A170" s="406"/>
      <c r="B170" s="507" t="s">
        <v>218</v>
      </c>
      <c r="C170" s="901">
        <v>9</v>
      </c>
      <c r="D170" s="899">
        <f>C170*$C$56/$C$166</f>
        <v>11.074247191011235</v>
      </c>
      <c r="E170" s="899">
        <f t="shared" si="4"/>
        <v>2.7439024390243903E-2</v>
      </c>
      <c r="F170" s="509"/>
      <c r="G170" s="898"/>
      <c r="H170" s="861"/>
      <c r="I170" s="861"/>
      <c r="J170" s="861"/>
      <c r="T170" s="526"/>
      <c r="U170" s="526"/>
      <c r="V170" s="526"/>
      <c r="W170" s="526"/>
      <c r="X170" s="526"/>
      <c r="Y170" s="526"/>
      <c r="Z170" s="526"/>
      <c r="AA170" s="526"/>
    </row>
    <row r="171" spans="1:27">
      <c r="A171" s="406"/>
      <c r="B171" s="507" t="s">
        <v>191</v>
      </c>
      <c r="C171" s="901">
        <v>17</v>
      </c>
      <c r="D171" s="899">
        <f>C171*$C$56/$C$166</f>
        <v>20.91802247191011</v>
      </c>
      <c r="E171" s="899">
        <f t="shared" si="4"/>
        <v>5.1829268292682924E-2</v>
      </c>
      <c r="F171" s="509"/>
      <c r="G171" s="898"/>
      <c r="H171" s="861"/>
      <c r="I171" s="861"/>
      <c r="J171" s="861"/>
      <c r="T171" s="526"/>
      <c r="U171" s="526"/>
      <c r="V171" s="526"/>
      <c r="W171" s="526"/>
      <c r="X171" s="526"/>
      <c r="Y171" s="526"/>
      <c r="Z171" s="526"/>
      <c r="AA171" s="526"/>
    </row>
    <row r="172" spans="1:27">
      <c r="A172" s="406"/>
      <c r="B172" s="507" t="s">
        <v>13</v>
      </c>
      <c r="C172" s="901">
        <v>10</v>
      </c>
      <c r="D172" s="899"/>
      <c r="E172" s="899">
        <v>0.04</v>
      </c>
      <c r="F172" s="509"/>
      <c r="G172" s="898"/>
      <c r="H172" s="861"/>
      <c r="I172" s="861"/>
      <c r="J172" s="861"/>
      <c r="T172" s="526"/>
      <c r="U172" s="526"/>
      <c r="V172" s="526"/>
      <c r="W172" s="526"/>
      <c r="X172" s="526"/>
      <c r="Y172" s="526"/>
      <c r="Z172" s="526"/>
      <c r="AA172" s="526"/>
    </row>
    <row r="173" spans="1:27">
      <c r="A173" s="406"/>
      <c r="B173" s="507" t="s">
        <v>14</v>
      </c>
      <c r="C173" s="901">
        <v>7.5</v>
      </c>
      <c r="D173" s="899">
        <f>C173*$C$56/$C$166</f>
        <v>9.2285393258426964</v>
      </c>
      <c r="E173" s="899">
        <f t="shared" si="4"/>
        <v>2.2865853658536588E-2</v>
      </c>
      <c r="F173" s="509"/>
      <c r="G173" s="898"/>
      <c r="H173" s="861"/>
      <c r="I173" s="861"/>
      <c r="J173" s="861"/>
      <c r="T173" s="526"/>
      <c r="U173" s="526"/>
      <c r="V173" s="526"/>
      <c r="W173" s="526"/>
      <c r="X173" s="526"/>
      <c r="Y173" s="526"/>
      <c r="Z173" s="526"/>
      <c r="AA173" s="526"/>
    </row>
    <row r="174" spans="1:27" s="897" customFormat="1">
      <c r="A174" s="898"/>
      <c r="B174" s="900"/>
      <c r="C174" s="901"/>
      <c r="D174" s="899"/>
      <c r="E174" s="899"/>
      <c r="F174" s="901"/>
      <c r="G174" s="898"/>
      <c r="H174" s="861"/>
      <c r="I174" s="861"/>
      <c r="J174" s="861"/>
      <c r="T174" s="902"/>
      <c r="U174" s="902"/>
      <c r="V174" s="902"/>
      <c r="W174" s="902"/>
      <c r="X174" s="902"/>
      <c r="Y174" s="902"/>
      <c r="Z174" s="902"/>
      <c r="AA174" s="902"/>
    </row>
    <row r="175" spans="1:27">
      <c r="A175" s="406"/>
      <c r="B175" s="507" t="s">
        <v>221</v>
      </c>
      <c r="C175" s="509">
        <v>4</v>
      </c>
      <c r="D175" s="505" t="s">
        <v>225</v>
      </c>
      <c r="E175" s="505"/>
      <c r="F175" s="509"/>
      <c r="G175" s="898"/>
      <c r="H175" s="861"/>
      <c r="I175" s="861"/>
      <c r="J175" s="861"/>
      <c r="T175" s="526"/>
      <c r="U175" s="526"/>
      <c r="V175" s="526"/>
      <c r="W175" s="526"/>
      <c r="X175" s="526"/>
      <c r="Y175" s="526"/>
      <c r="Z175" s="526"/>
      <c r="AA175" s="526"/>
    </row>
    <row r="176" spans="1:27">
      <c r="A176" s="406"/>
      <c r="B176" s="507" t="s">
        <v>222</v>
      </c>
      <c r="C176" s="509">
        <v>8000</v>
      </c>
      <c r="D176" s="505" t="s">
        <v>223</v>
      </c>
      <c r="E176" s="505"/>
      <c r="F176" s="509"/>
      <c r="G176" s="898"/>
      <c r="H176" s="861"/>
      <c r="I176" s="861"/>
      <c r="J176" s="861"/>
      <c r="T176" s="526"/>
      <c r="U176" s="526"/>
      <c r="V176" s="526"/>
      <c r="W176" s="526"/>
      <c r="X176" s="526"/>
      <c r="Y176" s="526"/>
      <c r="Z176" s="526"/>
      <c r="AA176" s="526"/>
    </row>
    <row r="177" spans="1:27">
      <c r="A177" s="406"/>
      <c r="B177" s="507" t="s">
        <v>224</v>
      </c>
      <c r="C177" s="509">
        <v>100</v>
      </c>
      <c r="D177" s="505" t="s">
        <v>2</v>
      </c>
      <c r="E177" s="505"/>
      <c r="F177" s="509"/>
      <c r="G177" s="898"/>
      <c r="H177" s="861"/>
      <c r="I177" s="861"/>
      <c r="J177" s="861"/>
      <c r="T177" s="526"/>
      <c r="U177" s="526"/>
      <c r="V177" s="526"/>
      <c r="W177" s="526"/>
      <c r="X177" s="526"/>
      <c r="Y177" s="526"/>
      <c r="Z177" s="526"/>
      <c r="AA177" s="526"/>
    </row>
    <row r="178" spans="1:27">
      <c r="A178" s="406"/>
      <c r="B178" s="510" t="s">
        <v>224</v>
      </c>
      <c r="C178" s="511">
        <f>C177*C175/C176</f>
        <v>0.05</v>
      </c>
      <c r="D178" s="792" t="s">
        <v>21</v>
      </c>
      <c r="E178" s="792"/>
      <c r="F178" s="511"/>
      <c r="G178" s="898"/>
      <c r="H178" s="861"/>
      <c r="I178" s="861"/>
      <c r="J178" s="861"/>
      <c r="T178" s="526"/>
      <c r="U178" s="526"/>
      <c r="V178" s="526"/>
      <c r="W178" s="526"/>
      <c r="X178" s="526"/>
      <c r="Y178" s="526"/>
      <c r="Z178" s="526"/>
      <c r="AA178" s="526"/>
    </row>
    <row r="179" spans="1:27">
      <c r="A179" s="406"/>
      <c r="T179" s="526"/>
      <c r="U179" s="526"/>
      <c r="V179" s="526"/>
      <c r="W179" s="526"/>
      <c r="X179" s="526"/>
      <c r="Y179" s="526"/>
      <c r="Z179" s="526"/>
      <c r="AA179" s="526"/>
    </row>
    <row r="180" spans="1:27">
      <c r="A180" s="406"/>
      <c r="B180" s="557" t="s">
        <v>70</v>
      </c>
      <c r="C180" s="558"/>
      <c r="D180" s="559"/>
      <c r="T180" s="526"/>
      <c r="U180" s="526"/>
      <c r="V180" s="526"/>
      <c r="W180" s="526"/>
      <c r="X180" s="526"/>
      <c r="Y180" s="526"/>
      <c r="Z180" s="526"/>
      <c r="AA180" s="526"/>
    </row>
    <row r="181" spans="1:27">
      <c r="A181" s="406"/>
      <c r="B181" s="551" t="s">
        <v>74</v>
      </c>
      <c r="C181" s="560">
        <v>141120</v>
      </c>
      <c r="D181" s="561" t="s">
        <v>211</v>
      </c>
      <c r="T181" s="526"/>
      <c r="U181" s="526"/>
      <c r="V181" s="526"/>
      <c r="W181" s="526"/>
      <c r="X181" s="526"/>
      <c r="Y181" s="526"/>
      <c r="Z181" s="526"/>
      <c r="AA181" s="526"/>
    </row>
    <row r="182" spans="1:27">
      <c r="A182" s="406"/>
      <c r="B182" s="551" t="s">
        <v>71</v>
      </c>
      <c r="C182" s="556">
        <f>C20</f>
        <v>0</v>
      </c>
      <c r="D182" s="561" t="s">
        <v>72</v>
      </c>
      <c r="T182" s="526"/>
      <c r="U182" s="526"/>
      <c r="V182" s="526"/>
      <c r="W182" s="526"/>
      <c r="X182" s="526"/>
      <c r="Y182" s="526"/>
      <c r="Z182" s="526"/>
      <c r="AA182" s="526"/>
    </row>
    <row r="183" spans="1:27">
      <c r="A183" s="406"/>
      <c r="B183" s="562" t="s">
        <v>5</v>
      </c>
      <c r="C183" s="580">
        <f>C182/C181</f>
        <v>0</v>
      </c>
      <c r="D183" s="563" t="s">
        <v>0</v>
      </c>
      <c r="T183" s="526"/>
      <c r="U183" s="526"/>
      <c r="V183" s="526"/>
      <c r="W183" s="526"/>
      <c r="X183" s="526"/>
      <c r="Y183" s="526"/>
      <c r="Z183" s="526"/>
      <c r="AA183" s="526"/>
    </row>
    <row r="184" spans="1:27">
      <c r="A184" s="406"/>
      <c r="T184" s="526"/>
      <c r="U184" s="526"/>
      <c r="V184" s="526"/>
      <c r="W184" s="526"/>
      <c r="X184" s="526"/>
      <c r="Y184" s="526"/>
      <c r="Z184" s="526"/>
      <c r="AA184" s="526"/>
    </row>
    <row r="185" spans="1:27">
      <c r="A185" s="406"/>
      <c r="B185" s="581" t="s">
        <v>76</v>
      </c>
      <c r="C185" s="582"/>
      <c r="D185" s="583"/>
      <c r="T185" s="526"/>
      <c r="U185" s="526"/>
      <c r="V185" s="526"/>
      <c r="W185" s="526"/>
      <c r="X185" s="526"/>
      <c r="Y185" s="526"/>
      <c r="Z185" s="526"/>
      <c r="AA185" s="526"/>
    </row>
    <row r="186" spans="1:27">
      <c r="A186" s="406"/>
      <c r="B186" s="584" t="s">
        <v>84</v>
      </c>
      <c r="C186" s="565">
        <f>IF(C20&lt;&gt;0,1,0)</f>
        <v>0</v>
      </c>
      <c r="D186" s="585" t="s">
        <v>31</v>
      </c>
      <c r="T186" s="526"/>
      <c r="U186" s="526"/>
      <c r="V186" s="526"/>
      <c r="W186" s="526"/>
      <c r="X186" s="526"/>
      <c r="Y186" s="526"/>
      <c r="Z186" s="526"/>
      <c r="AA186" s="526"/>
    </row>
    <row r="187" spans="1:27">
      <c r="A187" s="406"/>
      <c r="B187" s="586" t="s">
        <v>85</v>
      </c>
      <c r="C187" s="587">
        <f>C186*2.5/100*SUM(H28:H41,H43:H45,J42:L42)</f>
        <v>0</v>
      </c>
      <c r="D187" s="588" t="s">
        <v>0</v>
      </c>
      <c r="T187" s="526"/>
      <c r="U187" s="526"/>
      <c r="V187" s="526"/>
      <c r="W187" s="526"/>
      <c r="X187" s="526"/>
      <c r="Y187" s="526"/>
      <c r="Z187" s="526"/>
      <c r="AA187" s="526"/>
    </row>
    <row r="188" spans="1:27">
      <c r="A188" s="406"/>
      <c r="T188" s="526"/>
      <c r="U188" s="526"/>
      <c r="V188" s="526"/>
      <c r="W188" s="526"/>
      <c r="X188" s="526"/>
      <c r="Y188" s="526"/>
      <c r="Z188" s="526"/>
      <c r="AA188" s="526"/>
    </row>
    <row r="189" spans="1:27">
      <c r="A189" s="406"/>
      <c r="T189" s="526"/>
      <c r="U189" s="526"/>
      <c r="V189" s="526"/>
      <c r="W189" s="526"/>
      <c r="X189" s="526"/>
      <c r="Y189" s="526"/>
      <c r="Z189" s="526"/>
      <c r="AA189" s="526"/>
    </row>
    <row r="190" spans="1:27">
      <c r="A190" s="406"/>
      <c r="T190" s="526"/>
      <c r="U190" s="526"/>
      <c r="V190" s="526"/>
      <c r="W190" s="526"/>
      <c r="X190" s="526"/>
      <c r="Y190" s="526"/>
      <c r="Z190" s="526"/>
      <c r="AA190" s="526"/>
    </row>
    <row r="191" spans="1:27">
      <c r="A191" s="406"/>
      <c r="T191" s="526"/>
      <c r="U191" s="526"/>
      <c r="V191" s="526"/>
      <c r="W191" s="526"/>
      <c r="X191" s="526"/>
      <c r="Y191" s="526"/>
      <c r="Z191" s="526"/>
      <c r="AA191" s="526"/>
    </row>
    <row r="192" spans="1:27">
      <c r="T192" s="526"/>
      <c r="U192" s="526"/>
      <c r="V192" s="526"/>
      <c r="W192" s="526"/>
      <c r="X192" s="526"/>
      <c r="Y192" s="526"/>
      <c r="Z192" s="526"/>
      <c r="AA192" s="526"/>
    </row>
  </sheetData>
  <mergeCells count="2">
    <mergeCell ref="J26:M26"/>
    <mergeCell ref="N26:Q26"/>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dimension ref="A1:S192"/>
  <sheetViews>
    <sheetView zoomScale="60" zoomScaleNormal="60" workbookViewId="0"/>
  </sheetViews>
  <sheetFormatPr defaultRowHeight="14.4"/>
  <cols>
    <col min="1" max="1" width="8.88671875" style="405"/>
    <col min="2" max="2" width="30.6640625" style="401" customWidth="1"/>
    <col min="3" max="6" width="19" style="401" customWidth="1"/>
    <col min="7" max="7" width="24.77734375" style="401" customWidth="1"/>
    <col min="8" max="18" width="19" style="401" customWidth="1"/>
    <col min="19" max="16384" width="8.88671875" style="401"/>
  </cols>
  <sheetData>
    <row r="1" spans="1:19" ht="31.2">
      <c r="A1" s="889" t="s">
        <v>271</v>
      </c>
      <c r="B1" s="859"/>
    </row>
    <row r="2" spans="1:19">
      <c r="A2" s="890" t="s">
        <v>262</v>
      </c>
      <c r="B2" s="859"/>
    </row>
    <row r="3" spans="1:19">
      <c r="A3" s="859" t="s">
        <v>56</v>
      </c>
      <c r="B3" s="859"/>
    </row>
    <row r="4" spans="1:19" s="831" customFormat="1" ht="13.8" customHeight="1">
      <c r="A4" s="897" t="s">
        <v>259</v>
      </c>
      <c r="B4" s="891"/>
    </row>
    <row r="5" spans="1:19">
      <c r="A5" s="859"/>
      <c r="B5" s="859"/>
    </row>
    <row r="6" spans="1:19">
      <c r="A6" s="859"/>
      <c r="B6" s="859"/>
    </row>
    <row r="7" spans="1:19">
      <c r="A7" s="859"/>
      <c r="B7" s="859"/>
      <c r="H7" s="404"/>
    </row>
    <row r="8" spans="1:19">
      <c r="H8" s="404"/>
    </row>
    <row r="9" spans="1:19">
      <c r="A9" s="401"/>
      <c r="H9" s="404"/>
    </row>
    <row r="10" spans="1:19">
      <c r="H10" s="404"/>
    </row>
    <row r="11" spans="1:19">
      <c r="H11" s="404"/>
    </row>
    <row r="12" spans="1:19" ht="34.200000000000003" thickBot="1">
      <c r="B12" s="550" t="s">
        <v>41</v>
      </c>
      <c r="H12" s="404"/>
    </row>
    <row r="13" spans="1:19" ht="15" thickBot="1">
      <c r="B13" s="421" t="s">
        <v>58</v>
      </c>
      <c r="C13" s="430" t="s">
        <v>51</v>
      </c>
      <c r="D13" s="431" t="s">
        <v>60</v>
      </c>
      <c r="H13" s="404"/>
      <c r="S13" s="526"/>
    </row>
    <row r="14" spans="1:19">
      <c r="B14" s="415" t="s">
        <v>46</v>
      </c>
      <c r="C14" s="426">
        <v>20.5</v>
      </c>
      <c r="D14" s="432" t="s">
        <v>1</v>
      </c>
      <c r="E14" s="402"/>
      <c r="H14" s="404"/>
      <c r="S14" s="526"/>
    </row>
    <row r="15" spans="1:19">
      <c r="B15" s="417" t="s">
        <v>16</v>
      </c>
      <c r="C15" s="405">
        <v>50</v>
      </c>
      <c r="D15" s="433" t="s">
        <v>241</v>
      </c>
      <c r="H15" s="404"/>
      <c r="L15" s="407"/>
      <c r="N15" s="402"/>
      <c r="S15" s="526"/>
    </row>
    <row r="16" spans="1:19">
      <c r="B16" s="417" t="s">
        <v>50</v>
      </c>
      <c r="C16" s="405">
        <v>0.9</v>
      </c>
      <c r="D16" s="433" t="s">
        <v>31</v>
      </c>
      <c r="H16" s="404"/>
      <c r="L16" s="407"/>
      <c r="S16" s="526"/>
    </row>
    <row r="17" spans="1:19">
      <c r="B17" s="417" t="s">
        <v>226</v>
      </c>
      <c r="C17" s="405">
        <v>25</v>
      </c>
      <c r="D17" s="433" t="s">
        <v>17</v>
      </c>
      <c r="E17" s="402"/>
      <c r="H17" s="404"/>
      <c r="S17" s="526"/>
    </row>
    <row r="18" spans="1:19">
      <c r="B18" s="417" t="s">
        <v>22</v>
      </c>
      <c r="C18" s="523">
        <f>18.5*1.325</f>
        <v>24.512499999999999</v>
      </c>
      <c r="D18" s="433" t="s">
        <v>23</v>
      </c>
      <c r="H18" s="404"/>
      <c r="S18" s="526"/>
    </row>
    <row r="19" spans="1:19" s="542" customFormat="1">
      <c r="A19" s="714"/>
      <c r="B19" s="715" t="s">
        <v>26</v>
      </c>
      <c r="C19" s="716">
        <v>0.09</v>
      </c>
      <c r="D19" s="717" t="s">
        <v>27</v>
      </c>
      <c r="E19" s="718"/>
      <c r="H19" s="404"/>
      <c r="S19" s="549"/>
    </row>
    <row r="20" spans="1:19" ht="15" thickBot="1">
      <c r="B20" s="419" t="s">
        <v>71</v>
      </c>
      <c r="C20" s="772">
        <v>0</v>
      </c>
      <c r="D20" s="539" t="s">
        <v>72</v>
      </c>
      <c r="E20" s="402"/>
      <c r="H20" s="404"/>
      <c r="S20" s="526"/>
    </row>
    <row r="21" spans="1:19">
      <c r="H21" s="404"/>
      <c r="N21" s="404"/>
      <c r="S21" s="526"/>
    </row>
    <row r="22" spans="1:19">
      <c r="H22" s="404"/>
      <c r="N22" s="404"/>
      <c r="S22" s="526"/>
    </row>
    <row r="23" spans="1:19" ht="34.200000000000003" thickBot="1">
      <c r="B23" s="550" t="s">
        <v>59</v>
      </c>
      <c r="S23" s="526"/>
    </row>
    <row r="24" spans="1:19" ht="15" thickBot="1">
      <c r="B24" s="395" t="s">
        <v>80</v>
      </c>
      <c r="C24" s="396">
        <f>C66*1000*C54/C57*(1/(C136*C137*C138))</f>
        <v>0.61236167980220158</v>
      </c>
      <c r="D24" s="397" t="s">
        <v>79</v>
      </c>
      <c r="S24" s="526"/>
    </row>
    <row r="25" spans="1:19" ht="15" thickBot="1">
      <c r="S25" s="526"/>
    </row>
    <row r="26" spans="1:19" ht="29.4" thickBot="1">
      <c r="B26" s="423" t="s">
        <v>55</v>
      </c>
      <c r="J26" s="909" t="s">
        <v>109</v>
      </c>
      <c r="K26" s="910"/>
      <c r="L26" s="910"/>
      <c r="M26" s="911"/>
      <c r="N26" s="909" t="s">
        <v>111</v>
      </c>
      <c r="O26" s="910"/>
      <c r="P26" s="910"/>
      <c r="Q26" s="911"/>
      <c r="S26" s="526"/>
    </row>
    <row r="27" spans="1:19" ht="15" thickBot="1">
      <c r="A27" s="406"/>
      <c r="B27" s="428" t="s">
        <v>58</v>
      </c>
      <c r="C27" s="424" t="s">
        <v>9</v>
      </c>
      <c r="D27" s="427" t="s">
        <v>39</v>
      </c>
      <c r="E27" s="425" t="s">
        <v>40</v>
      </c>
      <c r="F27" s="425" t="s">
        <v>68</v>
      </c>
      <c r="G27" s="425" t="s">
        <v>65</v>
      </c>
      <c r="H27" s="545" t="s">
        <v>8</v>
      </c>
      <c r="I27" s="424" t="s">
        <v>69</v>
      </c>
      <c r="J27" s="605" t="s">
        <v>43</v>
      </c>
      <c r="K27" s="606" t="s">
        <v>83</v>
      </c>
      <c r="L27" s="606" t="s">
        <v>45</v>
      </c>
      <c r="M27" s="607" t="s">
        <v>75</v>
      </c>
      <c r="N27" s="761" t="s">
        <v>43</v>
      </c>
      <c r="O27" s="606" t="s">
        <v>83</v>
      </c>
      <c r="P27" s="606" t="s">
        <v>45</v>
      </c>
      <c r="Q27" s="607" t="s">
        <v>75</v>
      </c>
      <c r="S27" s="526"/>
    </row>
    <row r="28" spans="1:19">
      <c r="A28" s="406"/>
      <c r="B28" s="436" t="s">
        <v>36</v>
      </c>
      <c r="C28" s="773">
        <f>C67</f>
        <v>7.8720200000000004E-2</v>
      </c>
      <c r="D28" s="437"/>
      <c r="E28" s="438"/>
      <c r="F28" s="703">
        <v>1</v>
      </c>
      <c r="G28" s="515">
        <v>1</v>
      </c>
      <c r="H28" s="678">
        <f>C28*$C$54/$C$57*F28*G28</f>
        <v>1.4043428184281845E-2</v>
      </c>
      <c r="I28" s="675">
        <f>H28/$H$48*G28*F28</f>
        <v>2.6869063074113034E-2</v>
      </c>
      <c r="J28" s="610">
        <f>H28</f>
        <v>1.4043428184281845E-2</v>
      </c>
      <c r="K28" s="439"/>
      <c r="L28" s="439"/>
      <c r="M28" s="660"/>
      <c r="N28" s="762"/>
      <c r="O28" s="622"/>
      <c r="P28" s="622"/>
      <c r="Q28" s="623"/>
      <c r="S28" s="526"/>
    </row>
    <row r="29" spans="1:19">
      <c r="A29" s="406"/>
      <c r="B29" s="459" t="s">
        <v>192</v>
      </c>
      <c r="C29" s="460"/>
      <c r="D29" s="638" t="s">
        <v>110</v>
      </c>
      <c r="E29" s="616" t="s">
        <v>110</v>
      </c>
      <c r="F29" s="704">
        <v>1</v>
      </c>
      <c r="G29" s="516">
        <v>1</v>
      </c>
      <c r="H29" s="679">
        <f>SUM(J29:L29)</f>
        <v>0.14707789710615243</v>
      </c>
      <c r="I29" s="567">
        <f t="shared" ref="I29:I47" si="0">H29/$H$48</f>
        <v>0.28140175192950628</v>
      </c>
      <c r="J29" s="661">
        <f>H77*F29*G29+N29</f>
        <v>7.3132847885548052E-2</v>
      </c>
      <c r="K29" s="461">
        <f>H78*F29*G29+O29</f>
        <v>5.0870325826840632E-2</v>
      </c>
      <c r="L29" s="461">
        <f>H79*F29*G29+P29</f>
        <v>2.307472339376376E-2</v>
      </c>
      <c r="M29" s="662"/>
      <c r="N29" s="763"/>
      <c r="O29" s="639"/>
      <c r="P29" s="639"/>
      <c r="Q29" s="640"/>
      <c r="S29" s="526"/>
    </row>
    <row r="30" spans="1:19">
      <c r="A30" s="406"/>
      <c r="B30" s="641" t="s">
        <v>126</v>
      </c>
      <c r="C30" s="642"/>
      <c r="D30" s="638" t="s">
        <v>110</v>
      </c>
      <c r="E30" s="616" t="s">
        <v>110</v>
      </c>
      <c r="F30" s="705">
        <v>1</v>
      </c>
      <c r="G30" s="645">
        <f>C62</f>
        <v>0.90249999999999997</v>
      </c>
      <c r="H30" s="680">
        <f>SUM(J30:L30)</f>
        <v>3.7677807328256138E-2</v>
      </c>
      <c r="I30" s="676">
        <f t="shared" si="0"/>
        <v>7.208833685853773E-2</v>
      </c>
      <c r="J30" s="663">
        <f>E85*F30*G30+N30</f>
        <v>1.7892002276664092E-2</v>
      </c>
      <c r="K30" s="643">
        <f>E86*F30*G30+O30</f>
        <v>1.3183866054403602E-2</v>
      </c>
      <c r="L30" s="643">
        <f>E87*F30*G30+P30</f>
        <v>6.6019389971884437E-3</v>
      </c>
      <c r="M30" s="664"/>
      <c r="N30" s="642"/>
      <c r="O30" s="644"/>
      <c r="P30" s="644"/>
      <c r="Q30" s="646"/>
      <c r="S30" s="526"/>
    </row>
    <row r="31" spans="1:19">
      <c r="A31" s="406"/>
      <c r="B31" s="455" t="s">
        <v>37</v>
      </c>
      <c r="C31" s="456"/>
      <c r="D31" s="638" t="s">
        <v>110</v>
      </c>
      <c r="E31" s="616" t="s">
        <v>110</v>
      </c>
      <c r="F31" s="706">
        <v>1</v>
      </c>
      <c r="G31" s="517">
        <v>1</v>
      </c>
      <c r="H31" s="681">
        <f>(SUM(J31:L31))</f>
        <v>5.8570018291980053E-2</v>
      </c>
      <c r="I31" s="572">
        <f t="shared" si="0"/>
        <v>0.11206106479759403</v>
      </c>
      <c r="J31" s="548">
        <f>C118*F31*G31+N31</f>
        <v>3.1846055573205884E-2</v>
      </c>
      <c r="K31" s="457">
        <f>C119*F31*G31+O31</f>
        <v>1.3361981359387085E-2</v>
      </c>
      <c r="L31" s="457">
        <f>C120*F31*G31+P31</f>
        <v>1.3361981359387085E-2</v>
      </c>
      <c r="M31" s="601"/>
      <c r="N31" s="764"/>
      <c r="O31" s="457"/>
      <c r="P31" s="457"/>
      <c r="Q31" s="601"/>
      <c r="S31" s="526"/>
    </row>
    <row r="32" spans="1:19">
      <c r="A32" s="406"/>
      <c r="B32" s="440" t="s">
        <v>28</v>
      </c>
      <c r="C32" s="454"/>
      <c r="D32" s="638" t="s">
        <v>110</v>
      </c>
      <c r="E32" s="616" t="s">
        <v>110</v>
      </c>
      <c r="F32" s="707">
        <v>1</v>
      </c>
      <c r="G32" s="518">
        <v>1</v>
      </c>
      <c r="H32" s="682">
        <f>(SUM(J32:L32))</f>
        <v>2.8104170395716839E-2</v>
      </c>
      <c r="I32" s="571">
        <f t="shared" si="0"/>
        <v>5.3771252795191481E-2</v>
      </c>
      <c r="J32" s="591">
        <f>C130*F32*G32+N32</f>
        <v>3.4485606396192753E-3</v>
      </c>
      <c r="K32" s="442">
        <f>C131*F32*G32+O32</f>
        <v>2.1494634146341469E-2</v>
      </c>
      <c r="L32" s="442">
        <f>C132*F32*G32+P32</f>
        <v>3.1609756097560975E-3</v>
      </c>
      <c r="M32" s="592"/>
      <c r="N32" s="570"/>
      <c r="O32" s="442"/>
      <c r="P32" s="442"/>
      <c r="Q32" s="592"/>
      <c r="S32" s="526"/>
    </row>
    <row r="33" spans="1:19">
      <c r="A33" s="406"/>
      <c r="B33" s="733" t="s">
        <v>42</v>
      </c>
      <c r="C33" s="734">
        <f>C162</f>
        <v>0.3</v>
      </c>
      <c r="D33" s="735"/>
      <c r="E33" s="736"/>
      <c r="F33" s="737">
        <v>1</v>
      </c>
      <c r="G33" s="738">
        <v>1</v>
      </c>
      <c r="H33" s="739">
        <f>C33*$C$54/$C$57*F33*G33</f>
        <v>5.3519026314523502E-2</v>
      </c>
      <c r="I33" s="740">
        <f t="shared" si="0"/>
        <v>0.10239708387725018</v>
      </c>
      <c r="J33" s="741"/>
      <c r="K33" s="742">
        <f>H33</f>
        <v>5.3519026314523502E-2</v>
      </c>
      <c r="L33" s="742"/>
      <c r="M33" s="743"/>
      <c r="N33" s="753"/>
      <c r="O33" s="616"/>
      <c r="P33" s="617"/>
      <c r="Q33" s="618"/>
      <c r="S33" s="526"/>
    </row>
    <row r="34" spans="1:19">
      <c r="A34" s="406"/>
      <c r="B34" s="625" t="s">
        <v>82</v>
      </c>
      <c r="C34" s="573"/>
      <c r="D34" s="626"/>
      <c r="E34" s="576"/>
      <c r="F34" s="709">
        <v>0</v>
      </c>
      <c r="G34" s="627">
        <f>C62</f>
        <v>0.90249999999999997</v>
      </c>
      <c r="H34" s="684">
        <f>(C98)*F34*G34</f>
        <v>0</v>
      </c>
      <c r="I34" s="575">
        <f t="shared" si="0"/>
        <v>0</v>
      </c>
      <c r="J34" s="666">
        <f>H34</f>
        <v>0</v>
      </c>
      <c r="K34" s="628"/>
      <c r="L34" s="628"/>
      <c r="M34" s="667"/>
      <c r="N34" s="753"/>
      <c r="O34" s="617"/>
      <c r="P34" s="617"/>
      <c r="Q34" s="618"/>
      <c r="S34" s="526"/>
    </row>
    <row r="35" spans="1:19">
      <c r="A35" s="406"/>
      <c r="B35" s="443" t="s">
        <v>112</v>
      </c>
      <c r="C35" s="444"/>
      <c r="D35" s="445"/>
      <c r="E35" s="446"/>
      <c r="F35" s="447">
        <v>0</v>
      </c>
      <c r="G35" s="520">
        <f>C62</f>
        <v>0.90249999999999997</v>
      </c>
      <c r="H35" s="685">
        <f>(C93)*F35*G35</f>
        <v>0</v>
      </c>
      <c r="I35" s="677">
        <f t="shared" si="0"/>
        <v>0</v>
      </c>
      <c r="J35" s="602">
        <f>H35</f>
        <v>0</v>
      </c>
      <c r="K35" s="448"/>
      <c r="L35" s="448"/>
      <c r="M35" s="668"/>
      <c r="N35" s="765"/>
      <c r="O35" s="617"/>
      <c r="P35" s="617"/>
      <c r="Q35" s="618"/>
      <c r="S35" s="526"/>
    </row>
    <row r="36" spans="1:19">
      <c r="A36" s="406"/>
      <c r="B36" s="504" t="s">
        <v>15</v>
      </c>
      <c r="C36" s="505"/>
      <c r="D36" s="506"/>
      <c r="E36" s="507"/>
      <c r="F36" s="708">
        <v>1</v>
      </c>
      <c r="G36" s="519">
        <f>C62</f>
        <v>0.90249999999999997</v>
      </c>
      <c r="H36" s="683">
        <f>E171*F36*G36</f>
        <v>4.6775914634146334E-2</v>
      </c>
      <c r="I36" s="554">
        <f t="shared" si="0"/>
        <v>8.9495597810006988E-2</v>
      </c>
      <c r="J36" s="665"/>
      <c r="K36" s="508"/>
      <c r="L36" s="508">
        <f>H36</f>
        <v>4.6775914634146334E-2</v>
      </c>
      <c r="M36" s="603"/>
      <c r="N36" s="753"/>
      <c r="O36" s="617"/>
      <c r="P36" s="616"/>
      <c r="Q36" s="619"/>
      <c r="S36" s="526"/>
    </row>
    <row r="37" spans="1:19">
      <c r="A37" s="406"/>
      <c r="B37" s="504" t="s">
        <v>12</v>
      </c>
      <c r="C37" s="505"/>
      <c r="D37" s="506"/>
      <c r="E37" s="507"/>
      <c r="F37" s="708">
        <v>0</v>
      </c>
      <c r="G37" s="519">
        <f>C62</f>
        <v>0.90249999999999997</v>
      </c>
      <c r="H37" s="683">
        <f>E168*F37*G37</f>
        <v>0</v>
      </c>
      <c r="I37" s="554">
        <f t="shared" si="0"/>
        <v>0</v>
      </c>
      <c r="J37" s="665"/>
      <c r="K37" s="508"/>
      <c r="L37" s="508">
        <f>H37</f>
        <v>0</v>
      </c>
      <c r="M37" s="603"/>
      <c r="N37" s="753"/>
      <c r="O37" s="617"/>
      <c r="P37" s="616"/>
      <c r="Q37" s="619"/>
      <c r="S37" s="526"/>
    </row>
    <row r="38" spans="1:19">
      <c r="A38" s="406"/>
      <c r="B38" s="504" t="s">
        <v>10</v>
      </c>
      <c r="C38" s="505"/>
      <c r="D38" s="506"/>
      <c r="E38" s="507"/>
      <c r="F38" s="708">
        <v>1</v>
      </c>
      <c r="G38" s="519">
        <f>C62</f>
        <v>0.90249999999999997</v>
      </c>
      <c r="H38" s="683">
        <f>E170*F38*G38</f>
        <v>2.476371951219512E-2</v>
      </c>
      <c r="I38" s="554">
        <f t="shared" si="0"/>
        <v>4.7380022370003702E-2</v>
      </c>
      <c r="J38" s="665"/>
      <c r="K38" s="508"/>
      <c r="L38" s="508">
        <f>H38</f>
        <v>2.476371951219512E-2</v>
      </c>
      <c r="M38" s="603"/>
      <c r="N38" s="753"/>
      <c r="O38" s="617"/>
      <c r="P38" s="616"/>
      <c r="Q38" s="619"/>
      <c r="S38" s="526"/>
    </row>
    <row r="39" spans="1:19">
      <c r="A39" s="406"/>
      <c r="B39" s="504" t="s">
        <v>13</v>
      </c>
      <c r="C39" s="505"/>
      <c r="D39" s="506"/>
      <c r="E39" s="507"/>
      <c r="F39" s="708">
        <v>1</v>
      </c>
      <c r="G39" s="519">
        <f>C62</f>
        <v>0.90249999999999997</v>
      </c>
      <c r="H39" s="683">
        <f>E172*F39*G39</f>
        <v>3.61E-2</v>
      </c>
      <c r="I39" s="554">
        <f t="shared" si="0"/>
        <v>6.9069543721605398E-2</v>
      </c>
      <c r="J39" s="665"/>
      <c r="K39" s="508"/>
      <c r="L39" s="757">
        <f>H39</f>
        <v>3.61E-2</v>
      </c>
      <c r="M39" s="603"/>
      <c r="N39" s="753"/>
      <c r="O39" s="617"/>
      <c r="P39" s="616"/>
      <c r="Q39" s="619"/>
      <c r="R39" s="414"/>
      <c r="S39" s="526"/>
    </row>
    <row r="40" spans="1:19">
      <c r="A40" s="406"/>
      <c r="B40" s="504" t="s">
        <v>176</v>
      </c>
      <c r="C40" s="505">
        <v>0.18</v>
      </c>
      <c r="D40" s="506"/>
      <c r="E40" s="507"/>
      <c r="F40" s="708">
        <v>0.52</v>
      </c>
      <c r="G40" s="519">
        <v>1</v>
      </c>
      <c r="H40" s="683">
        <f>C40*$C$54/$C$57*F40*G40</f>
        <v>1.6697936210131333E-2</v>
      </c>
      <c r="I40" s="554">
        <f t="shared" si="0"/>
        <v>3.1947890169702051E-2</v>
      </c>
      <c r="J40" s="665"/>
      <c r="K40" s="508">
        <f>H40</f>
        <v>1.6697936210131333E-2</v>
      </c>
      <c r="L40" s="757"/>
      <c r="M40" s="603"/>
      <c r="N40" s="753"/>
      <c r="O40" s="616"/>
      <c r="P40" s="617"/>
      <c r="Q40" s="618"/>
      <c r="R40" s="414"/>
      <c r="S40" s="526"/>
    </row>
    <row r="41" spans="1:19">
      <c r="A41" s="406"/>
      <c r="B41" s="504" t="s">
        <v>11</v>
      </c>
      <c r="C41" s="505"/>
      <c r="D41" s="506"/>
      <c r="E41" s="507"/>
      <c r="F41" s="708">
        <v>1</v>
      </c>
      <c r="G41" s="519">
        <f>C62</f>
        <v>0.90249999999999997</v>
      </c>
      <c r="H41" s="683">
        <f>E169*F41*G41</f>
        <v>3.1642530487804882E-2</v>
      </c>
      <c r="I41" s="554">
        <f t="shared" si="0"/>
        <v>6.0541139695004742E-2</v>
      </c>
      <c r="J41" s="665"/>
      <c r="K41" s="508"/>
      <c r="L41" s="757">
        <f>H41</f>
        <v>3.1642530487804882E-2</v>
      </c>
      <c r="M41" s="603"/>
      <c r="N41" s="753"/>
      <c r="O41" s="617"/>
      <c r="P41" s="616"/>
      <c r="Q41" s="619"/>
      <c r="R41" s="408"/>
      <c r="S41" s="526"/>
    </row>
    <row r="42" spans="1:19">
      <c r="A42" s="406"/>
      <c r="B42" s="463" t="s">
        <v>38</v>
      </c>
      <c r="C42" s="464"/>
      <c r="D42" s="617" t="s">
        <v>110</v>
      </c>
      <c r="E42" s="616" t="s">
        <v>110</v>
      </c>
      <c r="F42" s="710">
        <v>1</v>
      </c>
      <c r="G42" s="521">
        <v>1</v>
      </c>
      <c r="H42" s="686">
        <f>SUM(J42:M42)</f>
        <v>2.5708079559581321E-2</v>
      </c>
      <c r="I42" s="568">
        <f t="shared" si="0"/>
        <v>4.9186851111883992E-2</v>
      </c>
      <c r="J42" s="612">
        <f>C144*F42*G42+N42</f>
        <v>4.3411204502882272E-3</v>
      </c>
      <c r="K42" s="466">
        <f>C145*F42*G42+O42</f>
        <v>1.1225050006718307E-2</v>
      </c>
      <c r="L42" s="758">
        <f>C146*F42*G42+P42</f>
        <v>1.0141909102574787E-2</v>
      </c>
      <c r="M42" s="613">
        <f>C147*F42*G42+Q42</f>
        <v>0</v>
      </c>
      <c r="N42" s="766"/>
      <c r="O42" s="629"/>
      <c r="P42" s="629"/>
      <c r="Q42" s="630"/>
      <c r="R42" s="409"/>
      <c r="S42" s="526"/>
    </row>
    <row r="43" spans="1:19">
      <c r="A43" s="406"/>
      <c r="B43" s="504" t="s">
        <v>14</v>
      </c>
      <c r="C43" s="505"/>
      <c r="D43" s="507"/>
      <c r="E43" s="507"/>
      <c r="F43" s="711">
        <v>0</v>
      </c>
      <c r="G43" s="519">
        <f>C62</f>
        <v>0.90249999999999997</v>
      </c>
      <c r="H43" s="683">
        <f>E173*F43*G43</f>
        <v>0</v>
      </c>
      <c r="I43" s="554">
        <f t="shared" si="0"/>
        <v>0</v>
      </c>
      <c r="J43" s="665"/>
      <c r="K43" s="508"/>
      <c r="L43" s="757">
        <f>H43</f>
        <v>0</v>
      </c>
      <c r="M43" s="603"/>
      <c r="N43" s="753"/>
      <c r="O43" s="617"/>
      <c r="P43" s="616"/>
      <c r="Q43" s="619"/>
      <c r="R43" s="409"/>
      <c r="S43" s="526"/>
    </row>
    <row r="44" spans="1:19">
      <c r="A44" s="406"/>
      <c r="B44" s="449" t="s">
        <v>29</v>
      </c>
      <c r="C44" s="450"/>
      <c r="D44" s="453"/>
      <c r="E44" s="451"/>
      <c r="F44" s="756">
        <v>1</v>
      </c>
      <c r="G44" s="522">
        <f>C62</f>
        <v>0.90249999999999997</v>
      </c>
      <c r="H44" s="687">
        <f>$C$153*F44*G44</f>
        <v>1.98109756097561E-3</v>
      </c>
      <c r="I44" s="569">
        <f t="shared" si="0"/>
        <v>3.7904017896002967E-3</v>
      </c>
      <c r="J44" s="547"/>
      <c r="K44" s="452"/>
      <c r="L44" s="759">
        <f>H44</f>
        <v>1.98109756097561E-3</v>
      </c>
      <c r="M44" s="604"/>
      <c r="N44" s="753"/>
      <c r="O44" s="617"/>
      <c r="P44" s="616"/>
      <c r="Q44" s="619"/>
      <c r="R44" s="409"/>
      <c r="S44" s="526"/>
    </row>
    <row r="45" spans="1:19">
      <c r="A45" s="406"/>
      <c r="B45" s="504" t="s">
        <v>77</v>
      </c>
      <c r="C45" s="505">
        <f>C178</f>
        <v>0.05</v>
      </c>
      <c r="D45" s="507"/>
      <c r="E45" s="507"/>
      <c r="F45" s="711">
        <v>0</v>
      </c>
      <c r="G45" s="519">
        <f>C62</f>
        <v>0.90249999999999997</v>
      </c>
      <c r="H45" s="683">
        <f>C45*$C$54/$C$57*F45*G45</f>
        <v>0</v>
      </c>
      <c r="I45" s="554">
        <f t="shared" si="0"/>
        <v>0</v>
      </c>
      <c r="J45" s="665"/>
      <c r="K45" s="508">
        <f>H45</f>
        <v>0</v>
      </c>
      <c r="L45" s="757"/>
      <c r="M45" s="603"/>
      <c r="N45" s="753"/>
      <c r="O45" s="616"/>
      <c r="P45" s="617"/>
      <c r="Q45" s="618"/>
      <c r="R45" s="409"/>
      <c r="S45" s="526"/>
    </row>
    <row r="46" spans="1:19">
      <c r="A46" s="406"/>
      <c r="B46" s="578" t="s">
        <v>73</v>
      </c>
      <c r="C46" s="555"/>
      <c r="D46" s="551"/>
      <c r="E46" s="551"/>
      <c r="F46" s="712">
        <v>1</v>
      </c>
      <c r="G46" s="673">
        <v>1</v>
      </c>
      <c r="H46" s="688">
        <f>C183*F46*G46</f>
        <v>0</v>
      </c>
      <c r="I46" s="754">
        <f t="shared" si="0"/>
        <v>0</v>
      </c>
      <c r="J46" s="669"/>
      <c r="K46" s="670"/>
      <c r="L46" s="760"/>
      <c r="M46" s="608">
        <f>H46</f>
        <v>0</v>
      </c>
      <c r="N46" s="753"/>
      <c r="O46" s="617"/>
      <c r="P46" s="617"/>
      <c r="Q46" s="619"/>
      <c r="R46" s="409"/>
      <c r="S46" s="526"/>
    </row>
    <row r="47" spans="1:19" ht="15" thickBot="1">
      <c r="A47" s="406"/>
      <c r="B47" s="579" t="s">
        <v>76</v>
      </c>
      <c r="C47" s="564"/>
      <c r="D47" s="755"/>
      <c r="E47" s="755"/>
      <c r="F47" s="713">
        <v>1</v>
      </c>
      <c r="G47" s="674">
        <v>1</v>
      </c>
      <c r="H47" s="689">
        <f>C187*F47*G47</f>
        <v>0</v>
      </c>
      <c r="I47" s="752">
        <f t="shared" si="0"/>
        <v>0</v>
      </c>
      <c r="J47" s="671"/>
      <c r="K47" s="672"/>
      <c r="L47" s="672"/>
      <c r="M47" s="609">
        <f>H47</f>
        <v>0</v>
      </c>
      <c r="N47" s="767"/>
      <c r="O47" s="620"/>
      <c r="P47" s="620"/>
      <c r="Q47" s="621"/>
      <c r="R47" s="409"/>
      <c r="S47" s="526"/>
    </row>
    <row r="48" spans="1:19" ht="15" thickBot="1">
      <c r="A48" s="406"/>
      <c r="B48" s="429" t="s">
        <v>6</v>
      </c>
      <c r="C48" s="577"/>
      <c r="D48" s="403"/>
      <c r="E48" s="403"/>
      <c r="F48" s="403"/>
      <c r="G48" s="403"/>
      <c r="H48" s="435">
        <f>SUM(H28:H47)</f>
        <v>0.52266162558574547</v>
      </c>
      <c r="I48" s="552">
        <f t="shared" ref="I48:M48" si="1">SUM(I28:I47)</f>
        <v>1</v>
      </c>
      <c r="J48" s="611">
        <f t="shared" si="1"/>
        <v>0.14470401500960736</v>
      </c>
      <c r="K48" s="614">
        <f t="shared" si="1"/>
        <v>0.1803528199183459</v>
      </c>
      <c r="L48" s="614">
        <f t="shared" si="1"/>
        <v>0.19760479065779213</v>
      </c>
      <c r="M48" s="615">
        <f t="shared" si="1"/>
        <v>0</v>
      </c>
      <c r="N48" s="418"/>
      <c r="O48" s="614"/>
      <c r="P48" s="614"/>
      <c r="Q48" s="615"/>
      <c r="R48" s="409"/>
      <c r="S48" s="526"/>
    </row>
    <row r="49" spans="1:19">
      <c r="A49" s="406"/>
      <c r="H49" s="404"/>
      <c r="K49" s="414"/>
      <c r="Q49" s="409"/>
      <c r="R49" s="409"/>
      <c r="S49" s="526"/>
    </row>
    <row r="50" spans="1:19">
      <c r="A50" s="406"/>
      <c r="Q50" s="409"/>
      <c r="R50" s="409"/>
      <c r="S50" s="526"/>
    </row>
    <row r="51" spans="1:19" ht="28.8">
      <c r="A51" s="406"/>
      <c r="B51" s="543" t="s">
        <v>57</v>
      </c>
      <c r="C51" s="420"/>
      <c r="D51" s="420"/>
      <c r="E51" s="420"/>
      <c r="F51" s="420"/>
      <c r="G51" s="544"/>
      <c r="H51" s="420"/>
      <c r="I51" s="420"/>
      <c r="J51" s="420"/>
      <c r="Q51" s="409"/>
      <c r="R51" s="409"/>
      <c r="S51" s="526"/>
    </row>
    <row r="52" spans="1:19">
      <c r="A52" s="406"/>
      <c r="E52" s="526"/>
      <c r="Q52" s="409"/>
      <c r="R52" s="409"/>
      <c r="S52" s="526"/>
    </row>
    <row r="53" spans="1:19">
      <c r="A53" s="406"/>
      <c r="B53" s="776" t="s">
        <v>203</v>
      </c>
      <c r="C53" s="775"/>
      <c r="D53" s="777"/>
      <c r="H53" s="404"/>
      <c r="Q53" s="409"/>
      <c r="R53" s="409"/>
      <c r="S53" s="526"/>
    </row>
    <row r="54" spans="1:19">
      <c r="A54" s="406"/>
      <c r="B54" s="778" t="s">
        <v>197</v>
      </c>
      <c r="C54" s="779">
        <v>72</v>
      </c>
      <c r="D54" s="780" t="s">
        <v>200</v>
      </c>
      <c r="H54" s="748"/>
      <c r="Q54" s="409"/>
      <c r="R54" s="409"/>
      <c r="S54" s="526"/>
    </row>
    <row r="55" spans="1:19">
      <c r="A55" s="406"/>
      <c r="B55" s="405" t="s">
        <v>196</v>
      </c>
      <c r="C55" s="526">
        <v>89</v>
      </c>
      <c r="D55" s="467" t="s">
        <v>1</v>
      </c>
      <c r="M55" s="404"/>
      <c r="Q55" s="409"/>
      <c r="R55" s="409"/>
      <c r="S55" s="526"/>
    </row>
    <row r="56" spans="1:19">
      <c r="A56" s="406"/>
      <c r="B56" s="406" t="s">
        <v>198</v>
      </c>
      <c r="C56" s="541">
        <f>C54*0.156^2/(C55/100)</f>
        <v>1.9687550561797753</v>
      </c>
      <c r="D56" s="467" t="s">
        <v>199</v>
      </c>
      <c r="H56" s="722"/>
      <c r="M56" s="404"/>
      <c r="Q56" s="410"/>
      <c r="R56" s="410"/>
      <c r="S56" s="526"/>
    </row>
    <row r="57" spans="1:19">
      <c r="A57" s="406"/>
      <c r="B57" s="747" t="s">
        <v>201</v>
      </c>
      <c r="C57" s="774">
        <f>C56*1000*$C$14/100</f>
        <v>403.5947865168539</v>
      </c>
      <c r="D57" s="746" t="s">
        <v>202</v>
      </c>
      <c r="M57" s="404"/>
      <c r="Q57" s="414"/>
      <c r="R57" s="414"/>
      <c r="S57" s="526"/>
    </row>
    <row r="58" spans="1:19">
      <c r="A58" s="406"/>
      <c r="M58" s="404"/>
      <c r="Q58" s="414"/>
      <c r="R58" s="414"/>
      <c r="S58" s="526"/>
    </row>
    <row r="59" spans="1:19">
      <c r="A59" s="406"/>
      <c r="B59" s="487" t="s">
        <v>65</v>
      </c>
      <c r="C59" s="488"/>
      <c r="D59" s="489"/>
      <c r="M59" s="404"/>
      <c r="N59" s="414"/>
      <c r="O59" s="414"/>
      <c r="P59" s="414"/>
      <c r="Q59" s="414"/>
      <c r="R59" s="414"/>
      <c r="S59" s="526"/>
    </row>
    <row r="60" spans="1:19">
      <c r="A60" s="406"/>
      <c r="B60" s="405" t="s">
        <v>49</v>
      </c>
      <c r="C60" s="526">
        <v>2</v>
      </c>
      <c r="D60" s="467" t="s">
        <v>31</v>
      </c>
      <c r="M60" s="404"/>
      <c r="N60" s="414"/>
      <c r="O60" s="414"/>
      <c r="P60" s="414"/>
      <c r="Q60" s="414"/>
      <c r="R60" s="414"/>
      <c r="S60" s="526"/>
    </row>
    <row r="61" spans="1:19">
      <c r="A61" s="406"/>
      <c r="B61" s="405" t="s">
        <v>48</v>
      </c>
      <c r="C61" s="526">
        <v>5</v>
      </c>
      <c r="D61" s="467" t="s">
        <v>1</v>
      </c>
      <c r="E61" s="402"/>
      <c r="H61" s="404"/>
      <c r="N61" s="414"/>
      <c r="O61" s="414"/>
      <c r="P61" s="414"/>
      <c r="Q61" s="414"/>
      <c r="R61" s="414"/>
      <c r="S61" s="526"/>
    </row>
    <row r="62" spans="1:19">
      <c r="A62" s="406"/>
      <c r="B62" s="525" t="s">
        <v>47</v>
      </c>
      <c r="C62" s="434">
        <f>(1-C61/100)^C60</f>
        <v>0.90249999999999997</v>
      </c>
      <c r="D62" s="524" t="s">
        <v>31</v>
      </c>
      <c r="M62" s="404"/>
      <c r="N62" s="414"/>
      <c r="O62" s="414"/>
      <c r="P62" s="414"/>
      <c r="Q62" s="414"/>
      <c r="R62" s="414"/>
      <c r="S62" s="526"/>
    </row>
    <row r="63" spans="1:19">
      <c r="A63" s="406"/>
      <c r="M63" s="404"/>
      <c r="N63" s="414"/>
      <c r="O63" s="414"/>
      <c r="P63" s="414"/>
      <c r="Q63" s="414"/>
      <c r="R63" s="414"/>
      <c r="S63" s="526"/>
    </row>
    <row r="64" spans="1:19">
      <c r="A64" s="406"/>
      <c r="B64" s="484" t="s">
        <v>36</v>
      </c>
      <c r="C64" s="485"/>
      <c r="D64" s="486"/>
      <c r="N64" s="414"/>
      <c r="O64" s="414"/>
      <c r="P64" s="414"/>
      <c r="Q64" s="414"/>
      <c r="R64" s="414"/>
      <c r="S64" s="526"/>
    </row>
    <row r="65" spans="1:19">
      <c r="A65" s="406"/>
      <c r="B65" s="468" t="s">
        <v>18</v>
      </c>
      <c r="C65" s="537">
        <v>2329</v>
      </c>
      <c r="D65" s="470" t="s">
        <v>20</v>
      </c>
      <c r="K65" s="404"/>
      <c r="N65" s="414"/>
      <c r="O65" s="414"/>
      <c r="P65" s="414"/>
      <c r="Q65" s="414"/>
      <c r="R65" s="414"/>
      <c r="S65" s="526"/>
    </row>
    <row r="66" spans="1:19" ht="15" customHeight="1">
      <c r="A66" s="406"/>
      <c r="B66" s="468" t="s">
        <v>204</v>
      </c>
      <c r="C66" s="469">
        <f>0.156*0.156*(C15/10^6/C16)*C65</f>
        <v>3.1488080000000003E-3</v>
      </c>
      <c r="D66" s="470" t="s">
        <v>19</v>
      </c>
      <c r="N66" s="414"/>
      <c r="O66" s="414"/>
      <c r="P66" s="414"/>
      <c r="Q66" s="414"/>
      <c r="R66" s="414"/>
      <c r="S66" s="526"/>
    </row>
    <row r="67" spans="1:19">
      <c r="A67" s="406"/>
      <c r="B67" s="781" t="s">
        <v>54</v>
      </c>
      <c r="C67" s="782">
        <f>C66*C17</f>
        <v>7.8720200000000004E-2</v>
      </c>
      <c r="D67" s="783" t="s">
        <v>21</v>
      </c>
      <c r="M67" s="414"/>
      <c r="N67" s="414"/>
      <c r="O67" s="409"/>
      <c r="P67" s="414"/>
      <c r="Q67" s="414"/>
      <c r="R67" s="414"/>
      <c r="S67" s="526"/>
    </row>
    <row r="68" spans="1:19">
      <c r="A68" s="406"/>
      <c r="J68" s="526"/>
      <c r="K68" s="414"/>
      <c r="L68" s="414"/>
      <c r="M68" s="414"/>
      <c r="N68" s="414"/>
      <c r="O68" s="540"/>
      <c r="P68" s="414"/>
      <c r="Q68" s="414"/>
      <c r="R68" s="414"/>
      <c r="S68" s="526"/>
    </row>
    <row r="69" spans="1:19">
      <c r="A69" s="406"/>
      <c r="B69" s="495" t="s">
        <v>192</v>
      </c>
      <c r="C69" s="496"/>
      <c r="D69" s="497"/>
      <c r="E69" s="497"/>
      <c r="F69" s="497"/>
      <c r="G69" s="497"/>
      <c r="H69" s="497"/>
      <c r="I69" s="497"/>
      <c r="J69" s="498"/>
      <c r="K69" s="414"/>
      <c r="L69" s="414"/>
      <c r="M69" s="414"/>
      <c r="N69" s="414"/>
      <c r="O69" s="540"/>
      <c r="P69" s="414"/>
      <c r="Q69" s="414"/>
      <c r="R69" s="414"/>
      <c r="S69" s="526"/>
    </row>
    <row r="70" spans="1:19">
      <c r="A70" s="406"/>
      <c r="B70" s="462" t="s">
        <v>128</v>
      </c>
      <c r="C70" s="460">
        <v>347</v>
      </c>
      <c r="D70" s="460" t="s">
        <v>129</v>
      </c>
      <c r="E70" s="460"/>
      <c r="F70" s="460"/>
      <c r="G70" s="460"/>
      <c r="H70" s="460"/>
      <c r="I70" s="460"/>
      <c r="J70" s="491"/>
      <c r="K70" s="414"/>
      <c r="L70" s="414"/>
      <c r="M70" s="414"/>
      <c r="N70" s="414"/>
      <c r="O70" s="540"/>
      <c r="P70" s="414"/>
      <c r="Q70" s="414"/>
      <c r="R70" s="414"/>
      <c r="S70" s="526"/>
    </row>
    <row r="71" spans="1:19">
      <c r="A71" s="406"/>
      <c r="B71" s="462" t="s">
        <v>130</v>
      </c>
      <c r="C71" s="635">
        <v>14.4</v>
      </c>
      <c r="D71" s="460" t="s">
        <v>31</v>
      </c>
      <c r="E71" s="460"/>
      <c r="F71" s="460"/>
      <c r="G71" s="460"/>
      <c r="H71" s="460"/>
      <c r="I71" s="460"/>
      <c r="J71" s="491"/>
      <c r="K71" s="414"/>
      <c r="L71" s="414"/>
      <c r="M71" s="414"/>
      <c r="N71" s="414"/>
      <c r="O71" s="540"/>
      <c r="P71" s="414"/>
      <c r="Q71" s="414"/>
      <c r="R71" s="414"/>
      <c r="S71" s="526"/>
    </row>
    <row r="72" spans="1:19">
      <c r="A72" s="406"/>
      <c r="B72" s="462" t="s">
        <v>90</v>
      </c>
      <c r="C72" s="514">
        <f>C70*10^6/(C71/100*1000)</f>
        <v>2409722.2222222215</v>
      </c>
      <c r="D72" s="460" t="s">
        <v>34</v>
      </c>
      <c r="E72" s="460"/>
      <c r="F72" s="460"/>
      <c r="G72" s="460"/>
      <c r="H72" s="460"/>
      <c r="I72" s="460"/>
      <c r="J72" s="491"/>
      <c r="K72" s="414"/>
      <c r="L72" s="414"/>
      <c r="M72" s="414"/>
      <c r="N72" s="414"/>
      <c r="O72" s="540"/>
      <c r="P72" s="414"/>
      <c r="Q72" s="526"/>
      <c r="S72" s="526"/>
    </row>
    <row r="73" spans="1:19">
      <c r="A73" s="406"/>
      <c r="B73" s="462" t="s">
        <v>268</v>
      </c>
      <c r="C73" s="460">
        <v>5</v>
      </c>
      <c r="D73" s="460" t="s">
        <v>133</v>
      </c>
      <c r="E73" s="460"/>
      <c r="F73" s="460"/>
      <c r="G73" s="460"/>
      <c r="H73" s="460"/>
      <c r="I73" s="460"/>
      <c r="J73" s="491"/>
      <c r="K73" s="414"/>
      <c r="L73" s="414"/>
      <c r="M73" s="414"/>
      <c r="N73" s="414"/>
      <c r="O73" s="540"/>
      <c r="P73" s="414"/>
      <c r="Q73" s="526"/>
      <c r="S73" s="526"/>
    </row>
    <row r="74" spans="1:19">
      <c r="A74" s="406"/>
      <c r="B74" s="462" t="s">
        <v>269</v>
      </c>
      <c r="C74" s="634">
        <v>39</v>
      </c>
      <c r="D74" s="460" t="s">
        <v>133</v>
      </c>
      <c r="E74" s="460"/>
      <c r="F74" s="460"/>
      <c r="G74" s="460"/>
      <c r="H74" s="460"/>
      <c r="I74" s="460"/>
      <c r="J74" s="491"/>
      <c r="K74" s="414"/>
      <c r="L74" s="414"/>
      <c r="M74" s="414"/>
      <c r="N74" s="414"/>
      <c r="O74" s="540"/>
      <c r="P74" s="414"/>
      <c r="Q74" s="526"/>
      <c r="S74" s="526"/>
    </row>
    <row r="75" spans="1:19">
      <c r="A75" s="406"/>
      <c r="B75" s="750"/>
      <c r="C75" s="460"/>
      <c r="D75" s="460"/>
      <c r="E75" s="460"/>
      <c r="F75" s="460"/>
      <c r="G75" s="460"/>
      <c r="H75" s="460"/>
      <c r="I75" s="460"/>
      <c r="J75" s="491"/>
      <c r="K75" s="414"/>
      <c r="L75" s="414"/>
      <c r="M75" s="414"/>
      <c r="N75" s="749"/>
      <c r="O75" s="414"/>
      <c r="P75" s="414"/>
      <c r="Q75" s="526"/>
      <c r="S75" s="526"/>
    </row>
    <row r="76" spans="1:19">
      <c r="A76" s="406"/>
      <c r="B76" s="462"/>
      <c r="C76" s="460" t="s">
        <v>138</v>
      </c>
      <c r="D76" s="460" t="s">
        <v>131</v>
      </c>
      <c r="E76" s="460" t="s">
        <v>235</v>
      </c>
      <c r="F76" s="460" t="s">
        <v>236</v>
      </c>
      <c r="G76" s="460" t="s">
        <v>205</v>
      </c>
      <c r="H76" s="492" t="s">
        <v>135</v>
      </c>
      <c r="I76" s="460" t="s">
        <v>270</v>
      </c>
      <c r="J76" s="491"/>
      <c r="K76" s="414"/>
      <c r="L76" s="414"/>
      <c r="M76" s="414"/>
      <c r="N76" s="414"/>
      <c r="O76" s="751"/>
      <c r="P76" s="414"/>
      <c r="Q76" s="526"/>
      <c r="S76" s="526"/>
    </row>
    <row r="77" spans="1:19">
      <c r="A77" s="406"/>
      <c r="B77" s="462" t="s">
        <v>132</v>
      </c>
      <c r="C77" s="634">
        <f>28000+18500</f>
        <v>46500</v>
      </c>
      <c r="D77" s="514">
        <f>(80.5*0.85+16+76.8*0.85+13)*1.27*1000000*0.9*1.15-18000000</f>
        <v>195867587.24999997</v>
      </c>
      <c r="E77" s="514">
        <f>(80.5*0.85+16*0+76.8*0.85+13*0)*1.27*1000000*0.9*1.15/C73</f>
        <v>35149707.449999988</v>
      </c>
      <c r="F77" s="514">
        <f>(80.5*0.85*0+16*1+76.8*0.85*0+13*1)*1.27*1000000*0.9*1.15/C74</f>
        <v>977411.5384615385</v>
      </c>
      <c r="G77" s="635">
        <f>(E77+F77)/$C$72</f>
        <v>14.992233816537352</v>
      </c>
      <c r="H77" s="637">
        <f>G77/(($C$14/100)*1000)</f>
        <v>7.3132847885548052E-2</v>
      </c>
      <c r="I77" s="490">
        <f>D77/1000000/$C$70</f>
        <v>0.56445990561959647</v>
      </c>
      <c r="J77" s="491"/>
      <c r="K77" s="414"/>
      <c r="L77" s="414"/>
      <c r="M77" s="414"/>
      <c r="N77" s="414"/>
      <c r="O77" s="751"/>
      <c r="P77" s="414"/>
      <c r="Q77" s="526"/>
      <c r="S77" s="526"/>
    </row>
    <row r="78" spans="1:19">
      <c r="A78" s="406"/>
      <c r="B78" s="462" t="s">
        <v>44</v>
      </c>
      <c r="C78" s="634">
        <v>18000</v>
      </c>
      <c r="D78" s="514">
        <f>(110*0.85+16.3)*1.27*1000000*0.9*1.15</f>
        <v>144326610</v>
      </c>
      <c r="E78" s="514">
        <f>(110*0.85+16.3*0)*1.27*1000000*0.9*1.15/C73</f>
        <v>24580214.999999996</v>
      </c>
      <c r="F78" s="514">
        <f>(110*0.85*0+16.3*1)*1.27*1000000*0.9*1.15/C74</f>
        <v>549372.69230769225</v>
      </c>
      <c r="G78" s="635">
        <f t="shared" ref="G78:G79" si="2">(E78+F78)/$C$72</f>
        <v>10.428416794502329</v>
      </c>
      <c r="H78" s="637">
        <f>G78/(($C$14/100)*1000)</f>
        <v>5.0870325826840632E-2</v>
      </c>
      <c r="I78" s="490">
        <f t="shared" ref="I78:I79" si="3">D78/1000000/$C$70</f>
        <v>0.41592682997118152</v>
      </c>
      <c r="J78" s="491"/>
      <c r="K78" s="414"/>
      <c r="L78" s="414"/>
      <c r="M78" s="414"/>
      <c r="N78" s="414"/>
      <c r="O78" s="751"/>
      <c r="P78" s="414"/>
      <c r="Q78" s="526"/>
      <c r="S78" s="526"/>
    </row>
    <row r="79" spans="1:19">
      <c r="A79" s="406"/>
      <c r="B79" s="462" t="s">
        <v>45</v>
      </c>
      <c r="C79" s="634">
        <v>20000</v>
      </c>
      <c r="D79" s="514">
        <f>(73.5*0.85+20)*1.27*1000000*0.6*1.15</f>
        <v>72272842.49999997</v>
      </c>
      <c r="E79" s="514">
        <f>(73.5*0.85+20*0)*1.27*1000000*0.6*1.15/C73</f>
        <v>10949368.499999998</v>
      </c>
      <c r="F79" s="514">
        <f>(73.5*0.85*0+20*1)*1.27*1000000*0.6*1.15/C74</f>
        <v>449384.61538461538</v>
      </c>
      <c r="G79" s="635">
        <f t="shared" si="2"/>
        <v>4.7303182957215704</v>
      </c>
      <c r="H79" s="637">
        <f>G79/(($C$14/100)*1000)</f>
        <v>2.307472339376376E-2</v>
      </c>
      <c r="I79" s="490">
        <f t="shared" si="3"/>
        <v>0.20827908501440912</v>
      </c>
      <c r="J79" s="491"/>
      <c r="K79" s="414"/>
      <c r="L79" s="414"/>
      <c r="M79" s="414"/>
      <c r="N79" s="414"/>
      <c r="O79" s="751"/>
      <c r="P79" s="414"/>
      <c r="Q79" s="526"/>
      <c r="S79" s="526"/>
    </row>
    <row r="80" spans="1:19">
      <c r="A80" s="406"/>
      <c r="B80" s="493"/>
      <c r="C80" s="494" t="s">
        <v>194</v>
      </c>
      <c r="D80" s="808">
        <f>SUM(D77:D79)/1000000/C70</f>
        <v>1.1886658206051874</v>
      </c>
      <c r="E80" s="494"/>
      <c r="F80" s="494"/>
      <c r="G80" s="809" t="s">
        <v>136</v>
      </c>
      <c r="H80" s="810">
        <f>SUM(H77:H79)</f>
        <v>0.14707789710615243</v>
      </c>
      <c r="I80" s="494"/>
      <c r="J80" s="793"/>
      <c r="K80" s="414"/>
      <c r="L80" s="414"/>
      <c r="M80" s="414"/>
      <c r="N80" s="414"/>
      <c r="O80" s="540"/>
      <c r="P80" s="414"/>
      <c r="Q80" s="526"/>
      <c r="S80" s="526"/>
    </row>
    <row r="81" spans="1:19">
      <c r="A81" s="406"/>
      <c r="B81" s="414"/>
      <c r="C81" s="414"/>
      <c r="D81" s="414"/>
      <c r="E81" s="408"/>
      <c r="F81" s="408"/>
      <c r="G81" s="414"/>
      <c r="H81" s="414"/>
      <c r="I81" s="414"/>
      <c r="J81" s="414"/>
      <c r="K81" s="414"/>
      <c r="L81" s="414"/>
      <c r="M81" s="409"/>
      <c r="N81" s="633"/>
      <c r="O81" s="633"/>
      <c r="P81" s="633"/>
      <c r="S81" s="526"/>
    </row>
    <row r="82" spans="1:19">
      <c r="A82" s="406"/>
      <c r="B82" s="647" t="s">
        <v>126</v>
      </c>
      <c r="C82" s="648"/>
      <c r="D82" s="648"/>
      <c r="E82" s="649"/>
      <c r="F82" s="411"/>
      <c r="G82" s="411"/>
      <c r="H82" s="411"/>
      <c r="I82" s="411"/>
      <c r="J82" s="414"/>
      <c r="K82" s="414"/>
      <c r="L82" s="414"/>
      <c r="M82" s="409"/>
      <c r="N82" s="633"/>
      <c r="O82" s="633"/>
      <c r="P82" s="633"/>
      <c r="S82" s="526"/>
    </row>
    <row r="83" spans="1:19">
      <c r="A83" s="406"/>
      <c r="B83" s="553" t="s">
        <v>139</v>
      </c>
      <c r="C83" s="566">
        <v>0.05</v>
      </c>
      <c r="D83" s="651" t="s">
        <v>31</v>
      </c>
      <c r="E83" s="652"/>
      <c r="F83" s="411"/>
      <c r="G83" s="411"/>
      <c r="H83" s="411"/>
      <c r="I83" s="411"/>
      <c r="J83" s="414"/>
      <c r="K83" s="414"/>
      <c r="L83" s="414"/>
      <c r="M83" s="409"/>
      <c r="N83" s="633"/>
      <c r="O83" s="633"/>
      <c r="P83" s="633"/>
      <c r="S83" s="526"/>
    </row>
    <row r="84" spans="1:19">
      <c r="A84" s="406"/>
      <c r="B84" s="553"/>
      <c r="C84" s="566" t="s">
        <v>134</v>
      </c>
      <c r="D84" s="566" t="s">
        <v>205</v>
      </c>
      <c r="E84" s="653" t="s">
        <v>135</v>
      </c>
      <c r="F84" s="411"/>
      <c r="G84" s="411"/>
      <c r="H84" s="411"/>
      <c r="I84" s="411"/>
      <c r="J84" s="414"/>
      <c r="K84" s="414"/>
      <c r="L84" s="414"/>
      <c r="M84" s="409"/>
      <c r="N84" s="633"/>
      <c r="O84" s="633"/>
      <c r="P84" s="633"/>
      <c r="S84" s="526"/>
    </row>
    <row r="85" spans="1:19">
      <c r="A85" s="406"/>
      <c r="B85" s="553" t="s">
        <v>132</v>
      </c>
      <c r="C85" s="654">
        <f>$C$83*D77</f>
        <v>9793379.3624999989</v>
      </c>
      <c r="D85" s="650">
        <f>C85/$C$72</f>
        <v>4.0641113204610955</v>
      </c>
      <c r="E85" s="655">
        <f>D85/(($C$14/100)*1000)</f>
        <v>1.9824933270541929E-2</v>
      </c>
      <c r="F85" s="411"/>
      <c r="G85" s="411"/>
      <c r="H85" s="411"/>
      <c r="I85" s="411"/>
      <c r="J85" s="414"/>
      <c r="K85" s="414"/>
      <c r="L85" s="414"/>
      <c r="M85" s="409"/>
      <c r="N85" s="633"/>
      <c r="O85" s="633"/>
      <c r="P85" s="633"/>
      <c r="S85" s="526"/>
    </row>
    <row r="86" spans="1:19">
      <c r="A86" s="406"/>
      <c r="B86" s="553" t="s">
        <v>44</v>
      </c>
      <c r="C86" s="654">
        <f>$C$83*D78</f>
        <v>7216330.5</v>
      </c>
      <c r="D86" s="650">
        <f>C86/$C$72</f>
        <v>2.9946731757925082</v>
      </c>
      <c r="E86" s="655">
        <f>D86/(($C$14/100)*1000)</f>
        <v>1.4608161833134186E-2</v>
      </c>
      <c r="F86" s="411"/>
      <c r="G86" s="411"/>
      <c r="H86" s="411"/>
      <c r="I86" s="411"/>
      <c r="J86" s="414"/>
      <c r="K86" s="414"/>
      <c r="L86" s="414"/>
      <c r="M86" s="409"/>
      <c r="N86" s="633"/>
      <c r="O86" s="633"/>
      <c r="P86" s="633"/>
      <c r="S86" s="526"/>
    </row>
    <row r="87" spans="1:19">
      <c r="A87" s="406"/>
      <c r="B87" s="553" t="s">
        <v>45</v>
      </c>
      <c r="C87" s="654">
        <f>$C$83*D79</f>
        <v>3613642.1249999986</v>
      </c>
      <c r="D87" s="650">
        <f>C87/$C$72</f>
        <v>1.4996094121037462</v>
      </c>
      <c r="E87" s="655">
        <f>D87/(($C$14/100)*1000)</f>
        <v>7.3151678639207136E-3</v>
      </c>
      <c r="F87" s="411"/>
      <c r="G87" s="411"/>
      <c r="H87" s="411"/>
      <c r="I87" s="411"/>
      <c r="J87" s="414"/>
      <c r="K87" s="414"/>
      <c r="L87" s="414"/>
      <c r="M87" s="409"/>
      <c r="N87" s="633"/>
      <c r="O87" s="633"/>
      <c r="P87" s="633"/>
      <c r="S87" s="526"/>
    </row>
    <row r="88" spans="1:19">
      <c r="A88" s="406"/>
      <c r="B88" s="656"/>
      <c r="C88" s="657"/>
      <c r="D88" s="658" t="s">
        <v>136</v>
      </c>
      <c r="E88" s="659">
        <f>SUM(E85:E87)</f>
        <v>4.174826296759683E-2</v>
      </c>
      <c r="F88" s="411"/>
      <c r="G88" s="411"/>
      <c r="H88" s="411"/>
      <c r="I88" s="411"/>
      <c r="J88" s="414"/>
      <c r="K88" s="414"/>
      <c r="L88" s="414"/>
      <c r="M88" s="409"/>
      <c r="N88" s="633"/>
      <c r="O88" s="633"/>
      <c r="P88" s="633"/>
      <c r="S88" s="526"/>
    </row>
    <row r="89" spans="1:19">
      <c r="A89" s="406"/>
      <c r="B89" s="411"/>
      <c r="C89" s="411"/>
      <c r="D89" s="411"/>
      <c r="E89" s="411"/>
      <c r="F89" s="411"/>
      <c r="G89" s="411"/>
      <c r="H89" s="411"/>
      <c r="I89" s="411"/>
      <c r="J89" s="414"/>
      <c r="K89" s="414"/>
      <c r="L89" s="414"/>
      <c r="M89" s="409"/>
      <c r="N89" s="633"/>
      <c r="O89" s="633"/>
      <c r="P89" s="633"/>
      <c r="S89" s="526"/>
    </row>
    <row r="90" spans="1:19">
      <c r="A90" s="406"/>
      <c r="B90" s="481" t="s">
        <v>112</v>
      </c>
      <c r="C90" s="482"/>
      <c r="D90" s="483"/>
      <c r="E90" s="411"/>
      <c r="F90" s="411"/>
      <c r="G90" s="411"/>
      <c r="H90" s="411"/>
      <c r="I90" s="411"/>
      <c r="J90" s="414"/>
      <c r="K90" s="414"/>
      <c r="L90" s="414"/>
      <c r="M90" s="409"/>
      <c r="N90" s="633"/>
      <c r="O90" s="633"/>
      <c r="P90" s="633"/>
      <c r="S90" s="526"/>
    </row>
    <row r="91" spans="1:19">
      <c r="A91" s="406"/>
      <c r="B91" s="830" t="s">
        <v>240</v>
      </c>
      <c r="C91" s="828">
        <f>21336000*1.05</f>
        <v>22402800</v>
      </c>
      <c r="D91" s="692" t="s">
        <v>33</v>
      </c>
      <c r="E91" s="411"/>
      <c r="F91" s="411"/>
      <c r="G91" s="411"/>
      <c r="H91" s="411"/>
      <c r="I91" s="411"/>
      <c r="J91" s="414"/>
      <c r="K91" s="414"/>
      <c r="L91" s="414"/>
      <c r="M91" s="409"/>
      <c r="N91" s="633"/>
      <c r="O91" s="633"/>
      <c r="P91" s="633"/>
      <c r="S91" s="526"/>
    </row>
    <row r="92" spans="1:19">
      <c r="A92" s="406"/>
      <c r="B92" s="446" t="s">
        <v>137</v>
      </c>
      <c r="C92" s="693">
        <f>C91/C72</f>
        <v>9.2968391930835761</v>
      </c>
      <c r="D92" s="471" t="s">
        <v>206</v>
      </c>
      <c r="E92" s="411"/>
      <c r="F92" s="411"/>
      <c r="G92" s="411"/>
      <c r="H92" s="411"/>
      <c r="I92" s="411"/>
      <c r="J92" s="414"/>
      <c r="K92" s="414"/>
      <c r="L92" s="414"/>
      <c r="M92" s="409"/>
      <c r="N92" s="633"/>
      <c r="O92" s="633"/>
      <c r="P92" s="633"/>
      <c r="S92" s="526"/>
    </row>
    <row r="93" spans="1:19">
      <c r="A93" s="406"/>
      <c r="B93" s="690" t="s">
        <v>32</v>
      </c>
      <c r="C93" s="694">
        <f>C92/(($C$14/100)*1000)</f>
        <v>4.5350435088212564E-2</v>
      </c>
      <c r="D93" s="691" t="s">
        <v>3</v>
      </c>
      <c r="E93" s="411"/>
      <c r="F93" s="411"/>
      <c r="G93" s="411"/>
      <c r="H93" s="411"/>
      <c r="I93" s="411"/>
      <c r="J93" s="414"/>
      <c r="K93" s="414"/>
      <c r="L93" s="414"/>
      <c r="M93" s="409"/>
      <c r="N93" s="633"/>
      <c r="O93" s="633"/>
      <c r="P93" s="633"/>
      <c r="S93" s="526"/>
    </row>
    <row r="94" spans="1:19">
      <c r="A94" s="406"/>
      <c r="B94" s="411"/>
      <c r="C94" s="411"/>
      <c r="D94" s="411"/>
      <c r="E94" s="411"/>
      <c r="F94" s="411"/>
      <c r="G94" s="411"/>
      <c r="H94" s="411"/>
      <c r="I94" s="744"/>
      <c r="J94" s="414"/>
      <c r="K94" s="414"/>
      <c r="L94" s="414"/>
      <c r="M94" s="409"/>
      <c r="N94" s="633"/>
      <c r="O94" s="633"/>
      <c r="P94" s="633"/>
      <c r="S94" s="526"/>
    </row>
    <row r="95" spans="1:19">
      <c r="A95" s="406"/>
      <c r="B95" s="695" t="s">
        <v>82</v>
      </c>
      <c r="C95" s="696"/>
      <c r="D95" s="697"/>
      <c r="E95" s="411"/>
      <c r="F95" s="411"/>
      <c r="G95" s="411"/>
      <c r="H95" s="411"/>
      <c r="I95" s="745"/>
      <c r="J95" s="414"/>
      <c r="K95" s="414"/>
      <c r="L95" s="414"/>
      <c r="M95" s="409"/>
      <c r="N95" s="633"/>
      <c r="O95" s="633"/>
      <c r="P95" s="633"/>
      <c r="S95" s="526"/>
    </row>
    <row r="96" spans="1:19">
      <c r="A96" s="406"/>
      <c r="B96" s="698" t="s">
        <v>240</v>
      </c>
      <c r="C96" s="829">
        <v>10287000</v>
      </c>
      <c r="D96" s="699" t="s">
        <v>33</v>
      </c>
      <c r="E96" s="411"/>
      <c r="F96" s="411"/>
      <c r="G96" s="411"/>
      <c r="H96" s="411"/>
      <c r="I96" s="411"/>
      <c r="J96" s="414"/>
      <c r="K96" s="414"/>
      <c r="L96" s="414"/>
      <c r="M96" s="409"/>
      <c r="N96" s="633"/>
      <c r="O96" s="633"/>
      <c r="P96" s="633"/>
      <c r="S96" s="526"/>
    </row>
    <row r="97" spans="1:19">
      <c r="A97" s="406"/>
      <c r="B97" s="576" t="s">
        <v>137</v>
      </c>
      <c r="C97" s="574">
        <f>C96/C72</f>
        <v>4.2689567723342954</v>
      </c>
      <c r="D97" s="589" t="s">
        <v>206</v>
      </c>
      <c r="E97" s="411"/>
      <c r="F97" s="411"/>
      <c r="G97" s="411"/>
      <c r="H97" s="411"/>
      <c r="I97" s="411"/>
      <c r="J97" s="414"/>
      <c r="K97" s="414"/>
      <c r="L97" s="414"/>
      <c r="M97" s="409"/>
      <c r="N97" s="633"/>
      <c r="O97" s="633"/>
      <c r="P97" s="633"/>
      <c r="S97" s="526"/>
    </row>
    <row r="98" spans="1:19">
      <c r="A98" s="406"/>
      <c r="B98" s="700" t="s">
        <v>32</v>
      </c>
      <c r="C98" s="701">
        <f>C97/(($C$14/100)*1000)</f>
        <v>2.0824179377240466E-2</v>
      </c>
      <c r="D98" s="702" t="s">
        <v>3</v>
      </c>
      <c r="E98" s="411"/>
      <c r="F98" s="411"/>
      <c r="G98" s="411"/>
      <c r="H98" s="411"/>
      <c r="I98" s="744"/>
      <c r="J98" s="414"/>
      <c r="K98" s="414"/>
      <c r="L98" s="414"/>
      <c r="M98" s="409"/>
      <c r="N98" s="633"/>
      <c r="O98" s="633"/>
      <c r="P98" s="633"/>
      <c r="S98" s="526"/>
    </row>
    <row r="99" spans="1:19">
      <c r="A99" s="406"/>
      <c r="G99" s="728"/>
      <c r="J99" s="414"/>
      <c r="S99" s="526"/>
    </row>
    <row r="100" spans="1:19">
      <c r="A100" s="406"/>
      <c r="B100" s="478" t="s">
        <v>37</v>
      </c>
      <c r="C100" s="479"/>
      <c r="D100" s="480"/>
      <c r="G100" s="728"/>
      <c r="S100" s="526"/>
    </row>
    <row r="101" spans="1:19">
      <c r="A101" s="406"/>
      <c r="B101" s="458" t="s">
        <v>90</v>
      </c>
      <c r="C101" s="472">
        <v>347</v>
      </c>
      <c r="D101" s="473" t="s">
        <v>24</v>
      </c>
      <c r="G101" s="728"/>
      <c r="S101" s="526"/>
    </row>
    <row r="102" spans="1:19">
      <c r="A102" s="406"/>
      <c r="B102" s="458" t="s">
        <v>130</v>
      </c>
      <c r="C102" s="472">
        <v>14.4</v>
      </c>
      <c r="D102" s="473" t="s">
        <v>31</v>
      </c>
      <c r="S102" s="526"/>
    </row>
    <row r="103" spans="1:19">
      <c r="A103" s="406"/>
      <c r="B103" s="458" t="s">
        <v>52</v>
      </c>
      <c r="C103" s="472">
        <f>1000*C102/100*0.156^2</f>
        <v>3.5043839999999999</v>
      </c>
      <c r="D103" s="473" t="s">
        <v>4</v>
      </c>
      <c r="S103" s="526"/>
    </row>
    <row r="104" spans="1:19">
      <c r="A104" s="406"/>
      <c r="B104" s="458" t="s">
        <v>30</v>
      </c>
      <c r="C104" s="636">
        <f>C101*10^6/(C102/100*1000)</f>
        <v>2409722.2222222215</v>
      </c>
      <c r="D104" s="473" t="s">
        <v>34</v>
      </c>
      <c r="S104" s="526"/>
    </row>
    <row r="105" spans="1:19">
      <c r="A105" s="406"/>
      <c r="B105" s="458" t="s">
        <v>91</v>
      </c>
      <c r="C105" s="593">
        <f>360*0.85-110</f>
        <v>196</v>
      </c>
      <c r="D105" s="473" t="s">
        <v>95</v>
      </c>
      <c r="F105" s="402"/>
      <c r="S105" s="526"/>
    </row>
    <row r="106" spans="1:19">
      <c r="A106" s="406"/>
      <c r="B106" s="458" t="s">
        <v>92</v>
      </c>
      <c r="C106" s="593">
        <f>150*0.6</f>
        <v>90</v>
      </c>
      <c r="D106" s="473" t="s">
        <v>95</v>
      </c>
      <c r="F106" s="402"/>
      <c r="S106" s="526"/>
    </row>
    <row r="107" spans="1:19">
      <c r="A107" s="406"/>
      <c r="B107" s="458" t="s">
        <v>93</v>
      </c>
      <c r="C107" s="593">
        <f>250*0.6-30</f>
        <v>120</v>
      </c>
      <c r="D107" s="473" t="s">
        <v>95</v>
      </c>
      <c r="S107" s="526"/>
    </row>
    <row r="108" spans="1:19">
      <c r="A108" s="406"/>
      <c r="B108" s="458" t="s">
        <v>94</v>
      </c>
      <c r="C108" s="593">
        <f>250*0.6-30</f>
        <v>120</v>
      </c>
      <c r="D108" s="473" t="s">
        <v>95</v>
      </c>
      <c r="L108" s="402"/>
      <c r="S108" s="526"/>
    </row>
    <row r="109" spans="1:19">
      <c r="A109" s="406"/>
      <c r="B109" s="458" t="s">
        <v>207</v>
      </c>
      <c r="C109" s="472">
        <f>SUM(C105:C108)/C101</f>
        <v>1.515850144092219</v>
      </c>
      <c r="D109" s="785" t="s">
        <v>210</v>
      </c>
      <c r="L109" s="402"/>
      <c r="S109" s="526"/>
    </row>
    <row r="110" spans="1:19">
      <c r="A110" s="406"/>
      <c r="B110" s="458" t="s">
        <v>96</v>
      </c>
      <c r="C110" s="472">
        <f>44*51</f>
        <v>2244</v>
      </c>
      <c r="D110" s="473" t="s">
        <v>97</v>
      </c>
      <c r="S110" s="526"/>
    </row>
    <row r="111" spans="1:19">
      <c r="A111" s="406"/>
      <c r="B111" s="458" t="s">
        <v>102</v>
      </c>
      <c r="C111" s="472">
        <f>(C105+C106)*C110/C104</f>
        <v>0.26633111239193091</v>
      </c>
      <c r="D111" s="473" t="s">
        <v>98</v>
      </c>
      <c r="S111" s="526"/>
    </row>
    <row r="112" spans="1:19">
      <c r="A112" s="406"/>
      <c r="B112" s="458" t="s">
        <v>103</v>
      </c>
      <c r="C112" s="472">
        <f>C107*C110/C104</f>
        <v>0.11174731988472626</v>
      </c>
      <c r="D112" s="473" t="s">
        <v>98</v>
      </c>
      <c r="S112" s="526"/>
    </row>
    <row r="113" spans="1:19">
      <c r="A113" s="406"/>
      <c r="B113" s="458" t="s">
        <v>104</v>
      </c>
      <c r="C113" s="472">
        <f>C108*C110/C104</f>
        <v>0.11174731988472626</v>
      </c>
      <c r="D113" s="473" t="s">
        <v>98</v>
      </c>
      <c r="S113" s="526"/>
    </row>
    <row r="114" spans="1:19">
      <c r="A114" s="406"/>
      <c r="B114" s="458" t="s">
        <v>99</v>
      </c>
      <c r="C114" s="472">
        <f>C111*C18</f>
        <v>6.5284413925072062</v>
      </c>
      <c r="D114" s="473" t="s">
        <v>35</v>
      </c>
      <c r="S114" s="526"/>
    </row>
    <row r="115" spans="1:19">
      <c r="A115" s="406"/>
      <c r="B115" s="458" t="s">
        <v>100</v>
      </c>
      <c r="C115" s="472">
        <f>C112*C18</f>
        <v>2.7392061786743525</v>
      </c>
      <c r="D115" s="473" t="s">
        <v>35</v>
      </c>
      <c r="S115" s="526"/>
    </row>
    <row r="116" spans="1:19">
      <c r="A116" s="406"/>
      <c r="B116" s="458" t="s">
        <v>101</v>
      </c>
      <c r="C116" s="472">
        <f>C113*C18</f>
        <v>2.7392061786743525</v>
      </c>
      <c r="D116" s="473" t="s">
        <v>35</v>
      </c>
      <c r="S116" s="526"/>
    </row>
    <row r="117" spans="1:19">
      <c r="A117" s="406"/>
      <c r="B117" s="458" t="s">
        <v>140</v>
      </c>
      <c r="C117" s="472">
        <f>1000*C14/100</f>
        <v>205</v>
      </c>
      <c r="D117" s="473" t="s">
        <v>105</v>
      </c>
      <c r="S117" s="526"/>
    </row>
    <row r="118" spans="1:19">
      <c r="A118" s="406"/>
      <c r="B118" s="594" t="s">
        <v>106</v>
      </c>
      <c r="C118" s="599">
        <f>C114/C117</f>
        <v>3.1846055573205884E-2</v>
      </c>
      <c r="D118" s="595" t="s">
        <v>3</v>
      </c>
      <c r="S118" s="526"/>
    </row>
    <row r="119" spans="1:19">
      <c r="A119" s="406"/>
      <c r="B119" s="594" t="s">
        <v>107</v>
      </c>
      <c r="C119" s="599">
        <f>C115/C117</f>
        <v>1.3361981359387085E-2</v>
      </c>
      <c r="D119" s="595" t="s">
        <v>3</v>
      </c>
      <c r="S119" s="526"/>
    </row>
    <row r="120" spans="1:19">
      <c r="A120" s="406"/>
      <c r="B120" s="594" t="s">
        <v>108</v>
      </c>
      <c r="C120" s="599">
        <f>C116/C117</f>
        <v>1.3361981359387085E-2</v>
      </c>
      <c r="D120" s="595" t="s">
        <v>3</v>
      </c>
      <c r="S120" s="526"/>
    </row>
    <row r="121" spans="1:19">
      <c r="A121" s="406"/>
      <c r="B121" s="527" t="s">
        <v>53</v>
      </c>
      <c r="C121" s="600">
        <f>SUM(C118:C120)</f>
        <v>5.8570018291980053E-2</v>
      </c>
      <c r="D121" s="528" t="s">
        <v>3</v>
      </c>
      <c r="F121" s="404"/>
      <c r="H121" s="404"/>
      <c r="S121" s="526"/>
    </row>
    <row r="122" spans="1:19">
      <c r="A122" s="406"/>
      <c r="S122" s="526"/>
    </row>
    <row r="123" spans="1:19">
      <c r="A123" s="406"/>
      <c r="B123" s="475" t="s">
        <v>28</v>
      </c>
      <c r="C123" s="476"/>
      <c r="D123" s="477"/>
      <c r="S123" s="526"/>
    </row>
    <row r="124" spans="1:19">
      <c r="A124" s="406"/>
      <c r="B124" s="441" t="s">
        <v>130</v>
      </c>
      <c r="C124" s="784">
        <v>14.4</v>
      </c>
      <c r="D124" s="474" t="s">
        <v>1</v>
      </c>
      <c r="S124" s="526"/>
    </row>
    <row r="125" spans="1:19">
      <c r="A125" s="406"/>
      <c r="B125" s="441" t="s">
        <v>212</v>
      </c>
      <c r="C125" s="784">
        <f>25.9</f>
        <v>25.9</v>
      </c>
      <c r="D125" s="474" t="s">
        <v>86</v>
      </c>
      <c r="S125" s="526"/>
    </row>
    <row r="126" spans="1:19">
      <c r="A126" s="406"/>
      <c r="B126" s="441" t="s">
        <v>212</v>
      </c>
      <c r="C126" s="570">
        <f>C125*C66*C54*(1/C57)</f>
        <v>1.454899159891599E-2</v>
      </c>
      <c r="D126" s="474" t="s">
        <v>25</v>
      </c>
      <c r="S126" s="526"/>
    </row>
    <row r="127" spans="1:19">
      <c r="A127" s="406"/>
      <c r="B127" s="441" t="s">
        <v>213</v>
      </c>
      <c r="C127" s="874">
        <f>0.2*0.2</f>
        <v>4.0000000000000008E-2</v>
      </c>
      <c r="D127" s="474" t="s">
        <v>25</v>
      </c>
      <c r="E127" s="402"/>
      <c r="S127" s="526"/>
    </row>
    <row r="128" spans="1:19">
      <c r="A128" s="406"/>
      <c r="B128" s="441" t="s">
        <v>214</v>
      </c>
      <c r="C128" s="570">
        <v>0.34</v>
      </c>
      <c r="D128" s="474" t="s">
        <v>25</v>
      </c>
      <c r="E128" s="402"/>
      <c r="S128" s="526"/>
    </row>
    <row r="129" spans="1:19">
      <c r="A129" s="406"/>
      <c r="B129" s="441" t="s">
        <v>215</v>
      </c>
      <c r="C129" s="570">
        <v>0.05</v>
      </c>
      <c r="D129" s="474" t="s">
        <v>25</v>
      </c>
      <c r="E129" s="402"/>
      <c r="S129" s="526"/>
    </row>
    <row r="130" spans="1:19">
      <c r="A130" s="406"/>
      <c r="B130" s="596" t="s">
        <v>87</v>
      </c>
      <c r="C130" s="597">
        <f>C19*(C126+C127)*(C124/C14)</f>
        <v>3.4485606396192753E-3</v>
      </c>
      <c r="D130" s="598" t="s">
        <v>0</v>
      </c>
      <c r="S130" s="526"/>
    </row>
    <row r="131" spans="1:19">
      <c r="A131" s="406"/>
      <c r="B131" s="596" t="s">
        <v>89</v>
      </c>
      <c r="C131" s="597">
        <f>C19*C128*(C124/C14)</f>
        <v>2.1494634146341469E-2</v>
      </c>
      <c r="D131" s="598" t="s">
        <v>0</v>
      </c>
      <c r="S131" s="526"/>
    </row>
    <row r="132" spans="1:19">
      <c r="A132" s="406"/>
      <c r="B132" s="596" t="s">
        <v>141</v>
      </c>
      <c r="C132" s="597">
        <f>C19*C129*(C124/C14)</f>
        <v>3.1609756097560975E-3</v>
      </c>
      <c r="D132" s="598" t="s">
        <v>0</v>
      </c>
      <c r="S132" s="526"/>
    </row>
    <row r="133" spans="1:19">
      <c r="A133" s="406"/>
      <c r="B133" s="529" t="s">
        <v>88</v>
      </c>
      <c r="C133" s="590">
        <f>SUM(C130:C132)</f>
        <v>2.8104170395716839E-2</v>
      </c>
      <c r="D133" s="530" t="s">
        <v>0</v>
      </c>
      <c r="S133" s="526"/>
    </row>
    <row r="134" spans="1:19">
      <c r="A134" s="406"/>
      <c r="F134" s="404"/>
      <c r="S134" s="526"/>
    </row>
    <row r="135" spans="1:19">
      <c r="A135" s="406"/>
      <c r="B135" s="501" t="s">
        <v>38</v>
      </c>
      <c r="C135" s="502"/>
      <c r="D135" s="503"/>
      <c r="S135" s="526"/>
    </row>
    <row r="136" spans="1:19">
      <c r="A136" s="406"/>
      <c r="B136" s="465" t="s">
        <v>113</v>
      </c>
      <c r="C136" s="500">
        <v>0.97</v>
      </c>
      <c r="D136" s="499" t="s">
        <v>31</v>
      </c>
      <c r="S136" s="526"/>
    </row>
    <row r="137" spans="1:19">
      <c r="A137" s="406"/>
      <c r="B137" s="465" t="s">
        <v>114</v>
      </c>
      <c r="C137" s="500">
        <f>0.965*1</f>
        <v>0.96499999999999997</v>
      </c>
      <c r="D137" s="499" t="s">
        <v>31</v>
      </c>
      <c r="S137" s="526"/>
    </row>
    <row r="138" spans="1:19">
      <c r="A138" s="406"/>
      <c r="B138" s="465" t="s">
        <v>115</v>
      </c>
      <c r="C138" s="500">
        <f>0.98*1</f>
        <v>0.98</v>
      </c>
      <c r="D138" s="499" t="s">
        <v>31</v>
      </c>
      <c r="S138" s="526"/>
    </row>
    <row r="139" spans="1:19">
      <c r="A139" s="406"/>
      <c r="B139" s="465" t="s">
        <v>123</v>
      </c>
      <c r="C139" s="500">
        <v>1</v>
      </c>
      <c r="D139" s="499" t="s">
        <v>31</v>
      </c>
      <c r="S139" s="526"/>
    </row>
    <row r="140" spans="1:19">
      <c r="A140" s="406"/>
      <c r="B140" s="465" t="s">
        <v>116</v>
      </c>
      <c r="C140" s="500">
        <f>(J31+J32+J35+J34+J28+J29+J30)</f>
        <v>0.14036289455931916</v>
      </c>
      <c r="D140" s="499" t="s">
        <v>3</v>
      </c>
      <c r="S140" s="526"/>
    </row>
    <row r="141" spans="1:19">
      <c r="A141" s="406"/>
      <c r="B141" s="465" t="s">
        <v>117</v>
      </c>
      <c r="C141" s="500">
        <f>C140+(K31+K32+K33+K40+K45+K29+K30)</f>
        <v>0.30949066447094675</v>
      </c>
      <c r="D141" s="499" t="s">
        <v>3</v>
      </c>
      <c r="S141" s="526"/>
    </row>
    <row r="142" spans="1:19">
      <c r="A142" s="406"/>
      <c r="B142" s="465" t="s">
        <v>118</v>
      </c>
      <c r="C142" s="500">
        <f>C141+(L31+L32+L36+L37+L38+L39+L41+L43+L44+L29+L30)</f>
        <v>0.49695354602616409</v>
      </c>
      <c r="D142" s="499" t="s">
        <v>3</v>
      </c>
      <c r="S142" s="526"/>
    </row>
    <row r="143" spans="1:19">
      <c r="A143" s="406"/>
      <c r="B143" s="465" t="s">
        <v>124</v>
      </c>
      <c r="C143" s="500">
        <f>SUM(H28,H30:H41,H43:H45)+(H46+H47)+H29</f>
        <v>0.49695354602616404</v>
      </c>
      <c r="D143" s="499" t="s">
        <v>3</v>
      </c>
      <c r="S143" s="526"/>
    </row>
    <row r="144" spans="1:19">
      <c r="A144" s="406"/>
      <c r="B144" s="631" t="s">
        <v>119</v>
      </c>
      <c r="C144" s="624">
        <f>C140/C136-C140</f>
        <v>4.3411204502882272E-3</v>
      </c>
      <c r="D144" s="632" t="s">
        <v>3</v>
      </c>
      <c r="S144" s="526"/>
    </row>
    <row r="145" spans="1:19">
      <c r="A145" s="406"/>
      <c r="B145" s="631" t="s">
        <v>120</v>
      </c>
      <c r="C145" s="624">
        <f>C141/C137-C141</f>
        <v>1.1225050006718307E-2</v>
      </c>
      <c r="D145" s="632" t="s">
        <v>3</v>
      </c>
      <c r="S145" s="526"/>
    </row>
    <row r="146" spans="1:19">
      <c r="A146" s="406"/>
      <c r="B146" s="631" t="s">
        <v>121</v>
      </c>
      <c r="C146" s="624">
        <f>C142/C138-C142</f>
        <v>1.0141909102574787E-2</v>
      </c>
      <c r="D146" s="632" t="s">
        <v>3</v>
      </c>
      <c r="S146" s="526"/>
    </row>
    <row r="147" spans="1:19">
      <c r="A147" s="406"/>
      <c r="B147" s="631" t="s">
        <v>125</v>
      </c>
      <c r="C147" s="624">
        <f>C143/C139-C143</f>
        <v>0</v>
      </c>
      <c r="D147" s="632" t="s">
        <v>3</v>
      </c>
      <c r="S147" s="526"/>
    </row>
    <row r="148" spans="1:19">
      <c r="A148" s="406"/>
      <c r="B148" s="534" t="s">
        <v>122</v>
      </c>
      <c r="C148" s="535">
        <f>SUM(C144:C147)</f>
        <v>2.5708079559581321E-2</v>
      </c>
      <c r="D148" s="536" t="s">
        <v>3</v>
      </c>
      <c r="S148" s="526"/>
    </row>
    <row r="149" spans="1:19">
      <c r="A149" s="406"/>
      <c r="S149" s="526"/>
    </row>
    <row r="150" spans="1:19">
      <c r="A150" s="406"/>
      <c r="B150" s="768" t="s">
        <v>29</v>
      </c>
      <c r="C150" s="769"/>
      <c r="D150" s="770"/>
      <c r="S150" s="526"/>
    </row>
    <row r="151" spans="1:19">
      <c r="A151" s="406"/>
      <c r="B151" s="771" t="s">
        <v>195</v>
      </c>
      <c r="C151" s="769">
        <f>0.15</f>
        <v>0.15</v>
      </c>
      <c r="D151" s="770" t="s">
        <v>35</v>
      </c>
      <c r="S151" s="526"/>
    </row>
    <row r="152" spans="1:19">
      <c r="A152" s="406"/>
      <c r="B152" s="790" t="s">
        <v>29</v>
      </c>
      <c r="C152" s="789">
        <f>3*C151*C56</f>
        <v>0.88593977528089884</v>
      </c>
      <c r="D152" s="791" t="s">
        <v>208</v>
      </c>
      <c r="S152" s="526"/>
    </row>
    <row r="153" spans="1:19">
      <c r="A153" s="406"/>
      <c r="B153" s="531" t="s">
        <v>209</v>
      </c>
      <c r="C153" s="532">
        <f>C152/C57</f>
        <v>2.1951219512195124E-3</v>
      </c>
      <c r="D153" s="533" t="s">
        <v>3</v>
      </c>
      <c r="S153" s="526"/>
    </row>
    <row r="154" spans="1:19">
      <c r="A154" s="406"/>
      <c r="B154" s="408"/>
      <c r="C154" s="720"/>
      <c r="D154" s="408"/>
      <c r="S154" s="526"/>
    </row>
    <row r="155" spans="1:19">
      <c r="A155" s="406"/>
      <c r="B155" s="729" t="s">
        <v>42</v>
      </c>
      <c r="C155" s="730"/>
      <c r="D155" s="731"/>
      <c r="S155" s="526"/>
    </row>
    <row r="156" spans="1:19">
      <c r="A156" s="406"/>
      <c r="B156" s="798" t="s">
        <v>228</v>
      </c>
      <c r="C156" s="799">
        <v>150</v>
      </c>
      <c r="D156" s="800" t="s">
        <v>17</v>
      </c>
      <c r="S156" s="526"/>
    </row>
    <row r="157" spans="1:19">
      <c r="A157" s="406"/>
      <c r="B157" s="736" t="s">
        <v>229</v>
      </c>
      <c r="C157" s="797">
        <v>0</v>
      </c>
      <c r="D157" s="732" t="s">
        <v>188</v>
      </c>
      <c r="S157" s="526"/>
    </row>
    <row r="158" spans="1:19">
      <c r="A158" s="406"/>
      <c r="B158" s="801" t="s">
        <v>228</v>
      </c>
      <c r="C158" s="802">
        <f>C156*C157/1000</f>
        <v>0</v>
      </c>
      <c r="D158" s="803" t="s">
        <v>21</v>
      </c>
      <c r="S158" s="526"/>
    </row>
    <row r="159" spans="1:19">
      <c r="A159" s="406"/>
      <c r="B159" s="736" t="s">
        <v>230</v>
      </c>
      <c r="C159" s="797">
        <v>300</v>
      </c>
      <c r="D159" s="732" t="s">
        <v>17</v>
      </c>
      <c r="S159" s="526"/>
    </row>
    <row r="160" spans="1:19">
      <c r="A160" s="406"/>
      <c r="B160" s="736" t="s">
        <v>231</v>
      </c>
      <c r="C160" s="797">
        <v>1</v>
      </c>
      <c r="D160" s="732" t="s">
        <v>188</v>
      </c>
      <c r="S160" s="526"/>
    </row>
    <row r="161" spans="1:19">
      <c r="A161" s="406"/>
      <c r="B161" s="801" t="s">
        <v>230</v>
      </c>
      <c r="C161" s="802">
        <f>C159*C160/1000</f>
        <v>0.3</v>
      </c>
      <c r="D161" s="803" t="s">
        <v>21</v>
      </c>
      <c r="S161" s="526"/>
    </row>
    <row r="162" spans="1:19">
      <c r="A162" s="406"/>
      <c r="B162" s="786" t="s">
        <v>189</v>
      </c>
      <c r="C162" s="787">
        <f>C158+C161</f>
        <v>0.3</v>
      </c>
      <c r="D162" s="788" t="s">
        <v>21</v>
      </c>
      <c r="S162" s="526"/>
    </row>
    <row r="163" spans="1:19">
      <c r="A163" s="406"/>
      <c r="S163" s="526"/>
    </row>
    <row r="164" spans="1:19">
      <c r="A164" s="406"/>
      <c r="B164" s="512" t="s">
        <v>66</v>
      </c>
      <c r="C164" s="513"/>
      <c r="D164" s="513"/>
      <c r="E164" s="513"/>
      <c r="F164" s="513"/>
      <c r="G164" s="898"/>
      <c r="H164" s="861"/>
      <c r="I164" s="861"/>
      <c r="J164" s="861"/>
      <c r="S164" s="526"/>
    </row>
    <row r="165" spans="1:19">
      <c r="A165" s="406"/>
      <c r="B165" s="507" t="s">
        <v>219</v>
      </c>
      <c r="C165" s="509">
        <v>60</v>
      </c>
      <c r="D165" s="509" t="s">
        <v>31</v>
      </c>
      <c r="E165" s="509"/>
      <c r="F165" s="509"/>
      <c r="G165" s="898"/>
      <c r="H165" s="861"/>
      <c r="I165" s="861"/>
      <c r="J165" s="861"/>
      <c r="S165" s="526"/>
    </row>
    <row r="166" spans="1:19">
      <c r="A166" s="406"/>
      <c r="B166" s="507" t="s">
        <v>220</v>
      </c>
      <c r="C166" s="509">
        <v>1.6</v>
      </c>
      <c r="D166" s="509" t="s">
        <v>127</v>
      </c>
      <c r="E166" s="509"/>
      <c r="F166" s="509"/>
      <c r="G166" s="898"/>
      <c r="H166" s="861"/>
      <c r="I166" s="861"/>
      <c r="J166" s="861"/>
      <c r="S166" s="526"/>
    </row>
    <row r="167" spans="1:19">
      <c r="A167" s="406"/>
      <c r="B167" s="507"/>
      <c r="C167" s="906" t="s">
        <v>260</v>
      </c>
      <c r="D167" s="904" t="s">
        <v>261</v>
      </c>
      <c r="E167" s="904" t="s">
        <v>8</v>
      </c>
      <c r="F167" s="509"/>
      <c r="G167" s="898"/>
      <c r="H167" s="861"/>
      <c r="I167" s="861"/>
      <c r="J167" s="861"/>
      <c r="S167" s="526"/>
    </row>
    <row r="168" spans="1:19">
      <c r="A168" s="406"/>
      <c r="B168" s="507" t="s">
        <v>216</v>
      </c>
      <c r="C168" s="901">
        <v>15</v>
      </c>
      <c r="D168" s="899">
        <f>(($C$56-$C$166)*2+(1.6*2+1*2))/(1.6*2+1*2)*C168</f>
        <v>17.127433016421783</v>
      </c>
      <c r="E168" s="899">
        <f>D168/$C$57</f>
        <v>4.2437200847505373E-2</v>
      </c>
      <c r="F168" s="509"/>
      <c r="G168" s="898"/>
      <c r="H168" s="861"/>
      <c r="I168" s="861"/>
      <c r="J168" s="861"/>
      <c r="S168" s="526"/>
    </row>
    <row r="169" spans="1:19">
      <c r="A169" s="406"/>
      <c r="B169" s="507" t="s">
        <v>217</v>
      </c>
      <c r="C169" s="901">
        <v>11.5</v>
      </c>
      <c r="D169" s="899">
        <f>C169*$C$56/$C$166</f>
        <v>14.150426966292136</v>
      </c>
      <c r="E169" s="899">
        <f t="shared" ref="E169:E173" si="4">D169/$C$57</f>
        <v>3.5060975609756101E-2</v>
      </c>
      <c r="F169" s="509"/>
      <c r="G169" s="898"/>
      <c r="H169" s="861"/>
      <c r="I169" s="861"/>
      <c r="J169" s="861"/>
      <c r="S169" s="526"/>
    </row>
    <row r="170" spans="1:19">
      <c r="A170" s="406"/>
      <c r="B170" s="507" t="s">
        <v>218</v>
      </c>
      <c r="C170" s="901">
        <v>9</v>
      </c>
      <c r="D170" s="899">
        <f>C170*$C$56/$C$166</f>
        <v>11.074247191011235</v>
      </c>
      <c r="E170" s="899">
        <f t="shared" si="4"/>
        <v>2.7439024390243903E-2</v>
      </c>
      <c r="F170" s="509"/>
      <c r="G170" s="898"/>
      <c r="H170" s="861"/>
      <c r="I170" s="861"/>
      <c r="J170" s="861"/>
      <c r="S170" s="526"/>
    </row>
    <row r="171" spans="1:19">
      <c r="A171" s="406"/>
      <c r="B171" s="507" t="s">
        <v>191</v>
      </c>
      <c r="C171" s="901">
        <v>17</v>
      </c>
      <c r="D171" s="899">
        <f>C171*$C$56/$C$166</f>
        <v>20.91802247191011</v>
      </c>
      <c r="E171" s="899">
        <f t="shared" si="4"/>
        <v>5.1829268292682924E-2</v>
      </c>
      <c r="F171" s="509"/>
      <c r="G171" s="898"/>
      <c r="H171" s="861"/>
      <c r="I171" s="861"/>
      <c r="J171" s="861"/>
      <c r="S171" s="526"/>
    </row>
    <row r="172" spans="1:19">
      <c r="A172" s="406"/>
      <c r="B172" s="507" t="s">
        <v>13</v>
      </c>
      <c r="C172" s="901">
        <v>10</v>
      </c>
      <c r="D172" s="899"/>
      <c r="E172" s="899">
        <v>0.04</v>
      </c>
      <c r="F172" s="509"/>
      <c r="G172" s="898"/>
      <c r="H172" s="861"/>
      <c r="I172" s="861"/>
      <c r="J172" s="861"/>
      <c r="S172" s="526"/>
    </row>
    <row r="173" spans="1:19">
      <c r="A173" s="406"/>
      <c r="B173" s="507" t="s">
        <v>14</v>
      </c>
      <c r="C173" s="901">
        <v>7.5</v>
      </c>
      <c r="D173" s="899">
        <f>C173*$C$56/$C$166</f>
        <v>9.2285393258426964</v>
      </c>
      <c r="E173" s="899">
        <f t="shared" si="4"/>
        <v>2.2865853658536588E-2</v>
      </c>
      <c r="F173" s="509"/>
      <c r="G173" s="898"/>
      <c r="H173" s="861"/>
      <c r="I173" s="861"/>
      <c r="J173" s="861"/>
      <c r="S173" s="526"/>
    </row>
    <row r="174" spans="1:19" s="897" customFormat="1">
      <c r="A174" s="898"/>
      <c r="B174" s="900"/>
      <c r="C174" s="901"/>
      <c r="D174" s="899"/>
      <c r="E174" s="899"/>
      <c r="F174" s="901"/>
      <c r="G174" s="898"/>
      <c r="H174" s="861"/>
      <c r="I174" s="861"/>
      <c r="J174" s="861"/>
      <c r="S174" s="902"/>
    </row>
    <row r="175" spans="1:19">
      <c r="A175" s="406"/>
      <c r="B175" s="507" t="s">
        <v>221</v>
      </c>
      <c r="C175" s="509">
        <v>4</v>
      </c>
      <c r="D175" s="505" t="s">
        <v>225</v>
      </c>
      <c r="E175" s="505"/>
      <c r="F175" s="509"/>
      <c r="G175" s="898"/>
      <c r="H175" s="861"/>
      <c r="I175" s="861"/>
      <c r="J175" s="861"/>
      <c r="S175" s="526"/>
    </row>
    <row r="176" spans="1:19">
      <c r="A176" s="406"/>
      <c r="B176" s="507" t="s">
        <v>222</v>
      </c>
      <c r="C176" s="509">
        <v>8000</v>
      </c>
      <c r="D176" s="505" t="s">
        <v>223</v>
      </c>
      <c r="E176" s="505"/>
      <c r="F176" s="509"/>
      <c r="G176" s="898"/>
      <c r="H176" s="861"/>
      <c r="I176" s="861"/>
      <c r="J176" s="861"/>
      <c r="S176" s="526"/>
    </row>
    <row r="177" spans="1:19">
      <c r="A177" s="406"/>
      <c r="B177" s="507" t="s">
        <v>224</v>
      </c>
      <c r="C177" s="509">
        <v>100</v>
      </c>
      <c r="D177" s="505" t="s">
        <v>2</v>
      </c>
      <c r="E177" s="505"/>
      <c r="F177" s="509"/>
      <c r="G177" s="898"/>
      <c r="H177" s="861"/>
      <c r="I177" s="861"/>
      <c r="J177" s="861"/>
      <c r="S177" s="526"/>
    </row>
    <row r="178" spans="1:19">
      <c r="A178" s="406"/>
      <c r="B178" s="510" t="s">
        <v>224</v>
      </c>
      <c r="C178" s="511">
        <f>C177*C175/C176</f>
        <v>0.05</v>
      </c>
      <c r="D178" s="792" t="s">
        <v>21</v>
      </c>
      <c r="E178" s="792"/>
      <c r="F178" s="511"/>
      <c r="G178" s="898"/>
      <c r="H178" s="861"/>
      <c r="I178" s="861"/>
      <c r="J178" s="861"/>
      <c r="S178" s="526"/>
    </row>
    <row r="179" spans="1:19">
      <c r="A179" s="406"/>
      <c r="S179" s="526"/>
    </row>
    <row r="180" spans="1:19">
      <c r="A180" s="406"/>
      <c r="B180" s="557" t="s">
        <v>70</v>
      </c>
      <c r="C180" s="558"/>
      <c r="D180" s="559"/>
      <c r="S180" s="526"/>
    </row>
    <row r="181" spans="1:19">
      <c r="A181" s="406"/>
      <c r="B181" s="551" t="s">
        <v>74</v>
      </c>
      <c r="C181" s="560">
        <v>141120</v>
      </c>
      <c r="D181" s="561" t="s">
        <v>211</v>
      </c>
      <c r="S181" s="526"/>
    </row>
    <row r="182" spans="1:19">
      <c r="A182" s="406"/>
      <c r="B182" s="551" t="s">
        <v>71</v>
      </c>
      <c r="C182" s="556">
        <f>C20</f>
        <v>0</v>
      </c>
      <c r="D182" s="561" t="s">
        <v>72</v>
      </c>
      <c r="S182" s="526"/>
    </row>
    <row r="183" spans="1:19">
      <c r="A183" s="406"/>
      <c r="B183" s="562" t="s">
        <v>5</v>
      </c>
      <c r="C183" s="580">
        <f>C182/C181</f>
        <v>0</v>
      </c>
      <c r="D183" s="563" t="s">
        <v>0</v>
      </c>
      <c r="S183" s="526"/>
    </row>
    <row r="184" spans="1:19">
      <c r="A184" s="406"/>
      <c r="S184" s="526"/>
    </row>
    <row r="185" spans="1:19">
      <c r="A185" s="406"/>
      <c r="B185" s="581" t="s">
        <v>76</v>
      </c>
      <c r="C185" s="582"/>
      <c r="D185" s="583"/>
      <c r="S185" s="526"/>
    </row>
    <row r="186" spans="1:19">
      <c r="A186" s="406"/>
      <c r="B186" s="584" t="s">
        <v>84</v>
      </c>
      <c r="C186" s="565">
        <f>IF(C20&lt;&gt;0,1,0)</f>
        <v>0</v>
      </c>
      <c r="D186" s="585" t="s">
        <v>31</v>
      </c>
      <c r="S186" s="526"/>
    </row>
    <row r="187" spans="1:19">
      <c r="A187" s="406"/>
      <c r="B187" s="586" t="s">
        <v>85</v>
      </c>
      <c r="C187" s="587">
        <f>C186*2.5/100*SUM(H28:H41,H43:H45,J42:L42)</f>
        <v>0</v>
      </c>
      <c r="D187" s="588" t="s">
        <v>0</v>
      </c>
      <c r="S187" s="526"/>
    </row>
    <row r="188" spans="1:19">
      <c r="A188" s="406"/>
      <c r="S188" s="526"/>
    </row>
    <row r="189" spans="1:19">
      <c r="A189" s="406"/>
      <c r="S189" s="526"/>
    </row>
    <row r="190" spans="1:19">
      <c r="A190" s="406"/>
      <c r="S190" s="526"/>
    </row>
    <row r="191" spans="1:19">
      <c r="A191" s="406"/>
      <c r="S191" s="526"/>
    </row>
    <row r="192" spans="1:19">
      <c r="S192" s="526"/>
    </row>
  </sheetData>
  <mergeCells count="2">
    <mergeCell ref="J26:M26"/>
    <mergeCell ref="N26:Q26"/>
  </mergeCell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Front Page</vt:lpstr>
      <vt:lpstr>Results Summary</vt:lpstr>
      <vt:lpstr>2012 Domestic</vt:lpstr>
      <vt:lpstr>2020 LOS Domestic</vt:lpstr>
      <vt:lpstr>2020 Advanced Domestic</vt:lpstr>
      <vt:lpstr>2020 Waferfall 1</vt:lpstr>
      <vt:lpstr>2020 Waferfall 2</vt:lpstr>
      <vt:lpstr>2020 Waferfall 3</vt:lpstr>
    </vt:vector>
  </TitlesOfParts>
  <Company>Massachusetts Institute of Technology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 Powell</dc:creator>
  <cp:lastModifiedBy>Alisa Becker</cp:lastModifiedBy>
  <cp:lastPrinted>2012-02-08T05:42:28Z</cp:lastPrinted>
  <dcterms:created xsi:type="dcterms:W3CDTF">2011-04-06T14:17:01Z</dcterms:created>
  <dcterms:modified xsi:type="dcterms:W3CDTF">2012-02-10T15:51:52Z</dcterms:modified>
</cp:coreProperties>
</file>