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" windowWidth="20112" windowHeight="7740"/>
  </bookViews>
  <sheets>
    <sheet name="Reported Yingli costs" sheetId="13" r:id="rId1"/>
    <sheet name="Model results" sheetId="1" r:id="rId2"/>
    <sheet name="Validation chart" sheetId="15" r:id="rId3"/>
    <sheet name="Reported China NREL model comp" sheetId="14" state="hidden" r:id="rId4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46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olver_adj" localSheetId="0" hidden="1">'Reported Yingli costs'!$D$11:$G$11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'Reported Yingli costs'!#REF!</definedName>
    <definedName name="solver_lhs2" localSheetId="0" hidden="1">'Reported Yingli costs'!#REF!</definedName>
    <definedName name="solver_lhs3" localSheetId="0" hidden="1">'Reported Yingli costs'!#REF!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3</definedName>
    <definedName name="solver_nwt" localSheetId="0" hidden="1">1</definedName>
    <definedName name="solver_opt" localSheetId="0" hidden="1">'Reported Yingli costs'!$H$11</definedName>
    <definedName name="solver_pre" localSheetId="0" hidden="1">0.000001</definedName>
    <definedName name="solver_rbv" localSheetId="0" hidden="1">1</definedName>
    <definedName name="solver_rel1" localSheetId="0" hidden="1">2</definedName>
    <definedName name="solver_rel2" localSheetId="0" hidden="1">2</definedName>
    <definedName name="solver_rel3" localSheetId="0" hidden="1">2</definedName>
    <definedName name="solver_rhs1" localSheetId="0" hidden="1">'Reported Yingli costs'!$E$13</definedName>
    <definedName name="solver_rhs2" localSheetId="0" hidden="1">'Reported Yingli costs'!$F$13</definedName>
    <definedName name="solver_rhs3" localSheetId="0" hidden="1">'Reported Yingli costs'!$G$13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2297.1</definedName>
    <definedName name="solver_ver" localSheetId="0" hidden="1">3</definedName>
  </definedNames>
  <calcPr calcId="145621" iterate="1"/>
</workbook>
</file>

<file path=xl/calcChain.xml><?xml version="1.0" encoding="utf-8"?>
<calcChain xmlns="http://schemas.openxmlformats.org/spreadsheetml/2006/main">
  <c r="E20" i="13" l="1"/>
  <c r="E18" i="13"/>
  <c r="D17" i="13"/>
  <c r="D9" i="13"/>
  <c r="C56" i="1" l="1"/>
  <c r="D56" i="1"/>
  <c r="D37" i="1"/>
  <c r="D35" i="1"/>
  <c r="C35" i="1"/>
  <c r="C37" i="1" s="1"/>
  <c r="Q101" i="1" l="1"/>
  <c r="Q100" i="1"/>
  <c r="Q99" i="1"/>
  <c r="P99" i="1"/>
  <c r="Q98" i="1"/>
  <c r="P98" i="1"/>
  <c r="Q89" i="1"/>
  <c r="P89" i="1"/>
  <c r="Q88" i="1"/>
  <c r="P88" i="1"/>
  <c r="Q39" i="1"/>
  <c r="P39" i="1"/>
  <c r="Q37" i="1"/>
  <c r="P37" i="1"/>
  <c r="Q36" i="1"/>
  <c r="P36" i="1"/>
  <c r="Q34" i="1"/>
  <c r="P34" i="1"/>
  <c r="Q33" i="1"/>
  <c r="P33" i="1"/>
  <c r="Q32" i="1"/>
  <c r="P32" i="1"/>
  <c r="Q31" i="1"/>
  <c r="P31" i="1"/>
  <c r="Q30" i="1"/>
  <c r="P30" i="1"/>
  <c r="Q24" i="1"/>
  <c r="P24" i="1"/>
  <c r="Q22" i="1"/>
  <c r="P22" i="1"/>
  <c r="Q21" i="1"/>
  <c r="Q72" i="1" s="1"/>
  <c r="P21" i="1"/>
  <c r="P72" i="1" s="1"/>
  <c r="Q20" i="1"/>
  <c r="P20" i="1"/>
  <c r="Q19" i="1"/>
  <c r="P19" i="1"/>
  <c r="Q17" i="1"/>
  <c r="Q70" i="1" s="1"/>
  <c r="P17" i="1"/>
  <c r="P70" i="1" s="1"/>
  <c r="Q16" i="1"/>
  <c r="P16" i="1"/>
  <c r="Q15" i="1"/>
  <c r="Q69" i="1" s="1"/>
  <c r="P15" i="1"/>
  <c r="P69" i="1" s="1"/>
  <c r="Q14" i="1"/>
  <c r="P14" i="1"/>
  <c r="Q13" i="1"/>
  <c r="P13" i="1"/>
  <c r="Q12" i="1"/>
  <c r="P12" i="1"/>
  <c r="Q11" i="1"/>
  <c r="Q67" i="1" s="1"/>
  <c r="P11" i="1"/>
  <c r="P67" i="1" s="1"/>
  <c r="Q10" i="1"/>
  <c r="P10" i="1"/>
  <c r="Q9" i="1"/>
  <c r="Q66" i="1" s="1"/>
  <c r="P9" i="1"/>
  <c r="P66" i="1" s="1"/>
  <c r="Q8" i="1"/>
  <c r="P8" i="1"/>
  <c r="Q7" i="1"/>
  <c r="P7" i="1"/>
  <c r="Q6" i="1"/>
  <c r="P6" i="1"/>
  <c r="M101" i="1"/>
  <c r="M100" i="1"/>
  <c r="L100" i="1"/>
  <c r="M99" i="1"/>
  <c r="L99" i="1"/>
  <c r="M98" i="1"/>
  <c r="L98" i="1"/>
  <c r="M90" i="1"/>
  <c r="L90" i="1"/>
  <c r="M89" i="1"/>
  <c r="L89" i="1"/>
  <c r="M88" i="1"/>
  <c r="L88" i="1"/>
  <c r="M39" i="1"/>
  <c r="L39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L24" i="1"/>
  <c r="M23" i="1"/>
  <c r="M73" i="1" s="1"/>
  <c r="L23" i="1"/>
  <c r="L73" i="1" s="1"/>
  <c r="M22" i="1"/>
  <c r="L22" i="1"/>
  <c r="M21" i="1"/>
  <c r="M72" i="1" s="1"/>
  <c r="L21" i="1"/>
  <c r="L72" i="1" s="1"/>
  <c r="M20" i="1"/>
  <c r="L20" i="1"/>
  <c r="M19" i="1"/>
  <c r="L19" i="1"/>
  <c r="M18" i="1"/>
  <c r="L18" i="1"/>
  <c r="M17" i="1"/>
  <c r="M70" i="1" s="1"/>
  <c r="L17" i="1"/>
  <c r="L70" i="1" s="1"/>
  <c r="M16" i="1"/>
  <c r="L16" i="1"/>
  <c r="M15" i="1"/>
  <c r="M69" i="1" s="1"/>
  <c r="L15" i="1"/>
  <c r="L69" i="1" s="1"/>
  <c r="M14" i="1"/>
  <c r="L14" i="1"/>
  <c r="M13" i="1"/>
  <c r="L13" i="1"/>
  <c r="M12" i="1"/>
  <c r="L12" i="1"/>
  <c r="M11" i="1"/>
  <c r="M67" i="1" s="1"/>
  <c r="L11" i="1"/>
  <c r="L67" i="1" s="1"/>
  <c r="M10" i="1"/>
  <c r="M45" i="1" s="1"/>
  <c r="L10" i="1"/>
  <c r="L45" i="1" s="1"/>
  <c r="M9" i="1"/>
  <c r="M66" i="1" s="1"/>
  <c r="L9" i="1"/>
  <c r="L66" i="1" s="1"/>
  <c r="M8" i="1"/>
  <c r="L8" i="1"/>
  <c r="M7" i="1"/>
  <c r="M42" i="1" s="1"/>
  <c r="L7" i="1"/>
  <c r="M6" i="1"/>
  <c r="L6" i="1"/>
  <c r="Q23" i="1"/>
  <c r="Q73" i="1" s="1"/>
  <c r="P23" i="1"/>
  <c r="P73" i="1" s="1"/>
  <c r="M43" i="1" l="1"/>
  <c r="L42" i="1"/>
  <c r="L92" i="1"/>
  <c r="Q102" i="1"/>
  <c r="M92" i="1"/>
  <c r="M102" i="1"/>
  <c r="Q45" i="1"/>
  <c r="P42" i="1"/>
  <c r="Q42" i="1"/>
  <c r="P45" i="1"/>
  <c r="L80" i="1"/>
  <c r="M80" i="1"/>
  <c r="P90" i="1"/>
  <c r="P92" i="1" s="1"/>
  <c r="L65" i="1"/>
  <c r="L68" i="1"/>
  <c r="L71" i="1"/>
  <c r="L102" i="1"/>
  <c r="P68" i="1"/>
  <c r="P18" i="1"/>
  <c r="P71" i="1" s="1"/>
  <c r="P35" i="1"/>
  <c r="Q90" i="1"/>
  <c r="Q92" i="1" s="1"/>
  <c r="M68" i="1"/>
  <c r="M71" i="1"/>
  <c r="Q18" i="1"/>
  <c r="Q71" i="1" s="1"/>
  <c r="Q35" i="1"/>
  <c r="P100" i="1"/>
  <c r="P102" i="1" s="1"/>
  <c r="Q68" i="1"/>
  <c r="Q80" i="1"/>
  <c r="P80" i="1"/>
  <c r="P81" i="1"/>
  <c r="Q81" i="1"/>
  <c r="P43" i="1"/>
  <c r="P65" i="1"/>
  <c r="Q43" i="1"/>
  <c r="P44" i="1"/>
  <c r="Q65" i="1"/>
  <c r="Q44" i="1"/>
  <c r="L81" i="1"/>
  <c r="M81" i="1"/>
  <c r="L43" i="1"/>
  <c r="M65" i="1"/>
  <c r="L25" i="1"/>
  <c r="L54" i="1" s="1"/>
  <c r="L40" i="1"/>
  <c r="L41" i="1" s="1"/>
  <c r="L44" i="1"/>
  <c r="M25" i="1"/>
  <c r="M57" i="1" s="1"/>
  <c r="M40" i="1"/>
  <c r="M41" i="1" s="1"/>
  <c r="M44" i="1"/>
  <c r="D13" i="14"/>
  <c r="Q25" i="1" l="1"/>
  <c r="Q54" i="1" s="1"/>
  <c r="P40" i="1"/>
  <c r="P41" i="1" s="1"/>
  <c r="P46" i="1" s="1"/>
  <c r="L46" i="1"/>
  <c r="M46" i="1"/>
  <c r="Q40" i="1"/>
  <c r="Q41" i="1" s="1"/>
  <c r="Q46" i="1" s="1"/>
  <c r="L79" i="1"/>
  <c r="L82" i="1" s="1"/>
  <c r="M54" i="1"/>
  <c r="L74" i="1"/>
  <c r="P25" i="1"/>
  <c r="P59" i="1" s="1"/>
  <c r="P74" i="1"/>
  <c r="P79" i="1"/>
  <c r="P82" i="1" s="1"/>
  <c r="Q74" i="1"/>
  <c r="Q79" i="1"/>
  <c r="Q82" i="1" s="1"/>
  <c r="L55" i="1"/>
  <c r="L56" i="1"/>
  <c r="L52" i="1"/>
  <c r="L53" i="1"/>
  <c r="L51" i="1"/>
  <c r="L58" i="1"/>
  <c r="M74" i="1"/>
  <c r="M79" i="1"/>
  <c r="M82" i="1" s="1"/>
  <c r="L59" i="1"/>
  <c r="M56" i="1"/>
  <c r="M52" i="1"/>
  <c r="M53" i="1"/>
  <c r="M55" i="1"/>
  <c r="M51" i="1"/>
  <c r="M59" i="1"/>
  <c r="L57" i="1"/>
  <c r="M58" i="1"/>
  <c r="L60" i="1" l="1"/>
  <c r="Q52" i="1"/>
  <c r="Q51" i="1"/>
  <c r="Q56" i="1"/>
  <c r="Q58" i="1"/>
  <c r="Q55" i="1"/>
  <c r="Q59" i="1"/>
  <c r="Q53" i="1"/>
  <c r="Q57" i="1"/>
  <c r="P55" i="1"/>
  <c r="P53" i="1"/>
  <c r="P54" i="1"/>
  <c r="P52" i="1"/>
  <c r="P57" i="1"/>
  <c r="P56" i="1"/>
  <c r="P58" i="1"/>
  <c r="P51" i="1"/>
  <c r="M60" i="1"/>
  <c r="O39" i="1"/>
  <c r="O37" i="1"/>
  <c r="O36" i="1"/>
  <c r="O35" i="1"/>
  <c r="O34" i="1"/>
  <c r="O33" i="1"/>
  <c r="O32" i="1"/>
  <c r="O31" i="1"/>
  <c r="N39" i="1"/>
  <c r="N37" i="1"/>
  <c r="N36" i="1"/>
  <c r="N35" i="1"/>
  <c r="N34" i="1"/>
  <c r="N33" i="1"/>
  <c r="N32" i="1"/>
  <c r="N31" i="1"/>
  <c r="Q60" i="1" l="1"/>
  <c r="P60" i="1"/>
  <c r="G16" i="13"/>
  <c r="G17" i="13" s="1"/>
  <c r="J9" i="14" s="1"/>
  <c r="G15" i="13"/>
  <c r="G29" i="13" s="1"/>
  <c r="F16" i="13"/>
  <c r="F17" i="13" s="1"/>
  <c r="H9" i="14" s="1"/>
  <c r="F15" i="13"/>
  <c r="F29" i="13" s="1"/>
  <c r="E16" i="13"/>
  <c r="E17" i="13" s="1"/>
  <c r="F9" i="14" s="1"/>
  <c r="E15" i="13"/>
  <c r="E29" i="13" s="1"/>
  <c r="D16" i="13"/>
  <c r="D9" i="14" s="1"/>
  <c r="D15" i="13"/>
  <c r="D29" i="13" s="1"/>
  <c r="D23" i="13" l="1"/>
  <c r="D11" i="14" s="1"/>
  <c r="D22" i="13"/>
  <c r="D20" i="13"/>
  <c r="E23" i="13"/>
  <c r="E22" i="13"/>
  <c r="F10" i="14" s="1"/>
  <c r="G23" i="13"/>
  <c r="J11" i="14" s="1"/>
  <c r="F23" i="13"/>
  <c r="H11" i="14" s="1"/>
  <c r="F22" i="13"/>
  <c r="F20" i="13"/>
  <c r="G22" i="13"/>
  <c r="G20" i="13"/>
  <c r="H11" i="13"/>
  <c r="G7" i="13"/>
  <c r="F7" i="13"/>
  <c r="H5" i="14" s="1"/>
  <c r="E7" i="13"/>
  <c r="F5" i="14" s="1"/>
  <c r="D7" i="13"/>
  <c r="D5" i="14" s="1"/>
  <c r="G30" i="13" l="1"/>
  <c r="J5" i="14"/>
  <c r="G18" i="13"/>
  <c r="F18" i="13"/>
  <c r="D18" i="13"/>
  <c r="F26" i="13"/>
  <c r="H10" i="14"/>
  <c r="H13" i="14" s="1"/>
  <c r="E26" i="13"/>
  <c r="F11" i="14"/>
  <c r="F13" i="14" s="1"/>
  <c r="G26" i="13"/>
  <c r="G27" i="13" s="1"/>
  <c r="J10" i="14"/>
  <c r="J13" i="14" s="1"/>
  <c r="D26" i="13"/>
  <c r="D27" i="13" s="1"/>
  <c r="D10" i="14"/>
  <c r="D30" i="13"/>
  <c r="F9" i="13"/>
  <c r="E27" i="13"/>
  <c r="E9" i="13"/>
  <c r="F27" i="13"/>
  <c r="E30" i="13"/>
  <c r="F30" i="13"/>
  <c r="G9" i="13"/>
  <c r="H18" i="13" l="1"/>
  <c r="H30" i="13"/>
  <c r="H9" i="13"/>
  <c r="H27" i="13"/>
  <c r="O30" i="1"/>
  <c r="O101" i="1" l="1"/>
  <c r="O100" i="1"/>
  <c r="O22" i="1" l="1"/>
  <c r="O21" i="1"/>
  <c r="O20" i="1"/>
  <c r="O19" i="1"/>
  <c r="O18" i="1"/>
  <c r="O11" i="1" l="1"/>
  <c r="O98" i="1"/>
  <c r="O6" i="1" l="1"/>
  <c r="N30" i="1"/>
  <c r="N6" i="1" l="1"/>
  <c r="O24" i="1"/>
  <c r="N7" i="1"/>
  <c r="N8" i="1"/>
  <c r="N10" i="1"/>
  <c r="N12" i="1"/>
  <c r="N13" i="1"/>
  <c r="N14" i="1"/>
  <c r="N16" i="1"/>
  <c r="N18" i="1"/>
  <c r="N19" i="1"/>
  <c r="N20" i="1"/>
  <c r="N22" i="1"/>
  <c r="N24" i="1"/>
  <c r="N9" i="1"/>
  <c r="N15" i="1"/>
  <c r="N21" i="1"/>
  <c r="N23" i="1"/>
  <c r="N17" i="1"/>
  <c r="O23" i="1"/>
  <c r="F37" i="1"/>
  <c r="O16" i="1"/>
  <c r="O15" i="1"/>
  <c r="O14" i="1"/>
  <c r="O13" i="1"/>
  <c r="O12" i="1"/>
  <c r="O40" i="1" s="1"/>
  <c r="O41" i="1" s="1"/>
  <c r="O10" i="1"/>
  <c r="O9" i="1"/>
  <c r="O8" i="1"/>
  <c r="O7" i="1"/>
  <c r="N100" i="1"/>
  <c r="O99" i="1"/>
  <c r="N99" i="1"/>
  <c r="N98" i="1"/>
  <c r="O43" i="1" l="1"/>
  <c r="O44" i="1"/>
  <c r="N45" i="1"/>
  <c r="N40" i="1"/>
  <c r="N41" i="1" s="1"/>
  <c r="O45" i="1"/>
  <c r="N43" i="1"/>
  <c r="O42" i="1"/>
  <c r="N66" i="1"/>
  <c r="N44" i="1"/>
  <c r="N42" i="1"/>
  <c r="E37" i="1"/>
  <c r="O65" i="1"/>
  <c r="N70" i="1"/>
  <c r="O68" i="1"/>
  <c r="N73" i="1"/>
  <c r="N69" i="1"/>
  <c r="O69" i="1"/>
  <c r="N89" i="1"/>
  <c r="N72" i="1"/>
  <c r="N11" i="1"/>
  <c r="N90" i="1"/>
  <c r="O66" i="1"/>
  <c r="N71" i="1"/>
  <c r="N65" i="1"/>
  <c r="O72" i="1"/>
  <c r="N68" i="1"/>
  <c r="O73" i="1"/>
  <c r="O90" i="1"/>
  <c r="O17" i="1"/>
  <c r="O71" i="1"/>
  <c r="N102" i="1"/>
  <c r="O89" i="1"/>
  <c r="N88" i="1"/>
  <c r="O46" i="1" l="1"/>
  <c r="N46" i="1"/>
  <c r="O79" i="1"/>
  <c r="N80" i="1"/>
  <c r="N92" i="1"/>
  <c r="N79" i="1"/>
  <c r="O70" i="1"/>
  <c r="N25" i="1"/>
  <c r="N67" i="1"/>
  <c r="N81" i="1" s="1"/>
  <c r="O80" i="1"/>
  <c r="O102" i="1"/>
  <c r="O88" i="1"/>
  <c r="N52" i="1" l="1"/>
  <c r="N53" i="1"/>
  <c r="N56" i="1"/>
  <c r="N51" i="1"/>
  <c r="N58" i="1"/>
  <c r="N57" i="1"/>
  <c r="N59" i="1"/>
  <c r="N54" i="1"/>
  <c r="N55" i="1"/>
  <c r="N82" i="1"/>
  <c r="N74" i="1"/>
  <c r="O92" i="1"/>
  <c r="O67" i="1"/>
  <c r="O25" i="1"/>
  <c r="N60" i="1" l="1"/>
  <c r="O52" i="1"/>
  <c r="O53" i="1"/>
  <c r="O56" i="1"/>
  <c r="O51" i="1"/>
  <c r="O59" i="1"/>
  <c r="O55" i="1"/>
  <c r="O57" i="1"/>
  <c r="O54" i="1"/>
  <c r="O58" i="1"/>
  <c r="O74" i="1"/>
  <c r="O81" i="1"/>
  <c r="O82" i="1" l="1"/>
  <c r="O60" i="1"/>
</calcChain>
</file>

<file path=xl/sharedStrings.xml><?xml version="1.0" encoding="utf-8"?>
<sst xmlns="http://schemas.openxmlformats.org/spreadsheetml/2006/main" count="290" uniqueCount="113">
  <si>
    <t>Polysilicon</t>
  </si>
  <si>
    <t>Maintenance</t>
  </si>
  <si>
    <t>Required margin</t>
  </si>
  <si>
    <t>Price</t>
  </si>
  <si>
    <t>U.S.</t>
  </si>
  <si>
    <t>China</t>
  </si>
  <si>
    <t>Saw Wire</t>
  </si>
  <si>
    <t>Saw Slurry</t>
  </si>
  <si>
    <t>Other Materials</t>
  </si>
  <si>
    <t>Direct Labor</t>
  </si>
  <si>
    <t>Utility</t>
  </si>
  <si>
    <t>Equipment</t>
  </si>
  <si>
    <t>Tooling</t>
  </si>
  <si>
    <t>Building</t>
  </si>
  <si>
    <t>Overhead Labor</t>
  </si>
  <si>
    <t>Wafer Cost</t>
  </si>
  <si>
    <t>Ag Paste</t>
  </si>
  <si>
    <t>Al Paste</t>
  </si>
  <si>
    <t>Material Cost</t>
  </si>
  <si>
    <t>Direct Labor Cost</t>
  </si>
  <si>
    <t>Utility Cost</t>
  </si>
  <si>
    <t>Equipment Cost</t>
  </si>
  <si>
    <t>Tooling Cost</t>
  </si>
  <si>
    <t>Building Cost</t>
  </si>
  <si>
    <t>Maintenance Cost</t>
  </si>
  <si>
    <t>Overhead Labor Cost</t>
  </si>
  <si>
    <t xml:space="preserve">Cell </t>
  </si>
  <si>
    <t>Glass</t>
  </si>
  <si>
    <t>EVA</t>
  </si>
  <si>
    <t>Backsheet</t>
  </si>
  <si>
    <t>Jbox</t>
  </si>
  <si>
    <t>Other Material Cost</t>
  </si>
  <si>
    <t>Wafer</t>
  </si>
  <si>
    <t>Cell</t>
  </si>
  <si>
    <t>Module</t>
  </si>
  <si>
    <t>Shipping</t>
  </si>
  <si>
    <t>Yingli</t>
  </si>
  <si>
    <t>Minimum Sustainable Price:</t>
  </si>
  <si>
    <t>Cash Costs</t>
  </si>
  <si>
    <t>Materials</t>
  </si>
  <si>
    <t>Labor</t>
  </si>
  <si>
    <t>Energy</t>
  </si>
  <si>
    <t>Depreciation</t>
  </si>
  <si>
    <t>Margin</t>
  </si>
  <si>
    <t>Shipping to U.S.</t>
  </si>
  <si>
    <t>Wafers</t>
  </si>
  <si>
    <t>Cell-labor contribution:</t>
  </si>
  <si>
    <t>Wafer var. cost</t>
  </si>
  <si>
    <t>Wafer non-cash expenses</t>
  </si>
  <si>
    <t>Cell var. cost</t>
  </si>
  <si>
    <t>Cell non-cash expenses</t>
  </si>
  <si>
    <t>Module var. cost</t>
  </si>
  <si>
    <t>Module non-cash expenses</t>
  </si>
  <si>
    <t>Wafer margin</t>
  </si>
  <si>
    <t>Cell margin</t>
  </si>
  <si>
    <t>Module margin</t>
  </si>
  <si>
    <t>Variable (cash) costs</t>
  </si>
  <si>
    <t>Non-cash expenses</t>
  </si>
  <si>
    <t>Depreciation (incl. maintenance)</t>
  </si>
  <si>
    <t>Poly</t>
  </si>
  <si>
    <t>Other materials</t>
  </si>
  <si>
    <t>Metallization</t>
  </si>
  <si>
    <t>Q1</t>
  </si>
  <si>
    <t>Q2</t>
  </si>
  <si>
    <t>Q3</t>
  </si>
  <si>
    <t>Q4</t>
  </si>
  <si>
    <t>QoQ Change in shipments</t>
  </si>
  <si>
    <t>Shipments (MW)</t>
  </si>
  <si>
    <t>Gross margin</t>
  </si>
  <si>
    <t>Opex</t>
  </si>
  <si>
    <t>Module sales</t>
  </si>
  <si>
    <t>Cost of module sales</t>
  </si>
  <si>
    <t>Non Si (per W)</t>
  </si>
  <si>
    <t>Si  (per W)</t>
  </si>
  <si>
    <t>Total COGs (per W)</t>
  </si>
  <si>
    <t>wgt'd "all in" COGS (per W)</t>
  </si>
  <si>
    <t>Cost of module sales  (per W)</t>
  </si>
  <si>
    <t>Opex (per W)</t>
  </si>
  <si>
    <t>Interest expense (per W)</t>
  </si>
  <si>
    <t>Total "all in" costs (per W)</t>
  </si>
  <si>
    <t>wgt'd "all in" costs (per W)</t>
  </si>
  <si>
    <t>Module ASP (per W)</t>
  </si>
  <si>
    <t>wgt'd module ASP (per W)</t>
  </si>
  <si>
    <t>Q1 2012</t>
  </si>
  <si>
    <t>Q2 2012</t>
  </si>
  <si>
    <t>Q3 2012</t>
  </si>
  <si>
    <t>Q4 2012</t>
  </si>
  <si>
    <t>COGs</t>
  </si>
  <si>
    <t>NREL</t>
  </si>
  <si>
    <t>Poly price (right axis)</t>
  </si>
  <si>
    <t>Yingli (all data in $U.S. thousands, unless noted)</t>
  </si>
  <si>
    <t>Source</t>
  </si>
  <si>
    <t>Q4 &amp; FY 2012 Earnings Supplementary Presentation (March 4, 2013)</t>
  </si>
  <si>
    <t>Calculated</t>
  </si>
  <si>
    <t>Yingli Green Energy Holding Company Limited 6K Filing</t>
  </si>
  <si>
    <t>Source type</t>
  </si>
  <si>
    <t>marketing materials</t>
  </si>
  <si>
    <t>SEC filing</t>
  </si>
  <si>
    <t>Calculated using date from marketing materials and SEC filings</t>
  </si>
  <si>
    <t>Calculated using date from SEC filings</t>
  </si>
  <si>
    <t>FY 2012        (incl. Shipment-wgt'd costs)</t>
  </si>
  <si>
    <t>Front glass</t>
  </si>
  <si>
    <t>Al Frame</t>
  </si>
  <si>
    <t>J-box</t>
  </si>
  <si>
    <t>Total</t>
  </si>
  <si>
    <t>Operating and Net Margins</t>
  </si>
  <si>
    <t>NREL bottom-up estimate</t>
  </si>
  <si>
    <t>Yingli Reported</t>
  </si>
  <si>
    <t>Debt Service</t>
  </si>
  <si>
    <t>1H 2012</t>
  </si>
  <si>
    <t>Q2 2013</t>
  </si>
  <si>
    <t>Costs - Breakdown by component - All values $/W</t>
  </si>
  <si>
    <t>Costs - Summary and Prices - All values $/W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</si>
</sst>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70C0"/>
      <name val="Times New Roman"/>
      <family val="1"/>
    </font>
    <font>
      <sz val="9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0" fontId="2" fillId="0" borderId="0" xfId="0" applyFont="1" applyAlignment="1">
      <alignment horizontal="right"/>
    </xf>
    <xf numFmtId="44" fontId="2" fillId="0" borderId="0" xfId="1" applyFont="1" applyAlignment="1">
      <alignment horizontal="right"/>
    </xf>
    <xf numFmtId="44" fontId="2" fillId="0" borderId="1" xfId="1" applyFont="1" applyBorder="1" applyAlignment="1">
      <alignment horizontal="right"/>
    </xf>
    <xf numFmtId="9" fontId="2" fillId="0" borderId="0" xfId="1" applyNumberFormat="1" applyFont="1" applyAlignment="1">
      <alignment horizontal="right"/>
    </xf>
    <xf numFmtId="44" fontId="2" fillId="0" borderId="0" xfId="1" applyFont="1"/>
    <xf numFmtId="9" fontId="2" fillId="0" borderId="0" xfId="2" applyFont="1"/>
    <xf numFmtId="44" fontId="2" fillId="0" borderId="1" xfId="1" applyFont="1" applyBorder="1"/>
    <xf numFmtId="9" fontId="2" fillId="0" borderId="0" xfId="0" applyNumberFormat="1" applyFont="1"/>
    <xf numFmtId="44" fontId="2" fillId="0" borderId="1" xfId="0" applyNumberFormat="1" applyFont="1" applyBorder="1"/>
    <xf numFmtId="9" fontId="4" fillId="0" borderId="0" xfId="1" applyNumberFormat="1" applyFont="1" applyAlignment="1">
      <alignment horizontal="right"/>
    </xf>
    <xf numFmtId="0" fontId="3" fillId="0" borderId="2" xfId="0" applyFont="1" applyBorder="1"/>
    <xf numFmtId="0" fontId="2" fillId="0" borderId="2" xfId="0" applyFont="1" applyBorder="1"/>
    <xf numFmtId="6" fontId="2" fillId="0" borderId="0" xfId="0" applyNumberFormat="1" applyFont="1"/>
    <xf numFmtId="0" fontId="2" fillId="0" borderId="0" xfId="0" applyFont="1" applyFill="1"/>
    <xf numFmtId="44" fontId="2" fillId="0" borderId="0" xfId="0" applyNumberFormat="1" applyFont="1" applyFill="1"/>
    <xf numFmtId="9" fontId="2" fillId="0" borderId="1" xfId="2" applyFont="1" applyBorder="1"/>
    <xf numFmtId="164" fontId="2" fillId="0" borderId="0" xfId="1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0" borderId="0" xfId="2" applyNumberFormat="1" applyFont="1" applyAlignment="1">
      <alignment horizontal="right"/>
    </xf>
    <xf numFmtId="0" fontId="2" fillId="2" borderId="0" xfId="0" applyFont="1" applyFill="1"/>
    <xf numFmtId="44" fontId="2" fillId="2" borderId="0" xfId="1" applyFont="1" applyFill="1" applyAlignment="1">
      <alignment horizontal="right"/>
    </xf>
    <xf numFmtId="44" fontId="2" fillId="2" borderId="0" xfId="1" applyNumberFormat="1" applyFont="1" applyFill="1" applyAlignment="1">
      <alignment horizontal="right"/>
    </xf>
    <xf numFmtId="44" fontId="2" fillId="0" borderId="0" xfId="1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44" fontId="5" fillId="0" borderId="0" xfId="1" applyNumberFormat="1" applyFont="1" applyFill="1" applyAlignment="1">
      <alignment horizontal="right"/>
    </xf>
    <xf numFmtId="44" fontId="5" fillId="0" borderId="0" xfId="1" applyFont="1" applyAlignment="1">
      <alignment horizontal="right"/>
    </xf>
    <xf numFmtId="44" fontId="5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44" fontId="6" fillId="0" borderId="3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44" fontId="2" fillId="2" borderId="0" xfId="0" applyNumberFormat="1" applyFont="1" applyFill="1" applyAlignment="1">
      <alignment horizontal="right"/>
    </xf>
    <xf numFmtId="44" fontId="6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44" fontId="3" fillId="0" borderId="0" xfId="0" applyNumberFormat="1" applyFont="1"/>
    <xf numFmtId="44" fontId="2" fillId="0" borderId="0" xfId="1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4" fontId="2" fillId="0" borderId="6" xfId="1" applyFont="1" applyBorder="1"/>
    <xf numFmtId="44" fontId="2" fillId="0" borderId="7" xfId="1" applyFont="1" applyBorder="1"/>
    <xf numFmtId="44" fontId="2" fillId="0" borderId="8" xfId="1" applyFont="1" applyBorder="1"/>
    <xf numFmtId="44" fontId="2" fillId="0" borderId="9" xfId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44" fontId="2" fillId="0" borderId="12" xfId="1" applyFont="1" applyBorder="1"/>
    <xf numFmtId="44" fontId="2" fillId="0" borderId="13" xfId="1" applyFont="1" applyBorder="1"/>
    <xf numFmtId="44" fontId="2" fillId="0" borderId="14" xfId="1" applyFont="1" applyBorder="1"/>
    <xf numFmtId="44" fontId="2" fillId="0" borderId="15" xfId="1" applyFont="1" applyBorder="1"/>
    <xf numFmtId="44" fontId="2" fillId="0" borderId="12" xfId="0" applyNumberFormat="1" applyFont="1" applyBorder="1"/>
    <xf numFmtId="44" fontId="2" fillId="0" borderId="13" xfId="0" applyNumberFormat="1" applyFont="1" applyBorder="1"/>
    <xf numFmtId="44" fontId="2" fillId="0" borderId="14" xfId="0" applyNumberFormat="1" applyFont="1" applyBorder="1"/>
    <xf numFmtId="44" fontId="2" fillId="0" borderId="15" xfId="0" applyNumberFormat="1" applyFont="1" applyBorder="1"/>
    <xf numFmtId="9" fontId="2" fillId="0" borderId="12" xfId="2" applyFont="1" applyBorder="1"/>
    <xf numFmtId="9" fontId="2" fillId="0" borderId="13" xfId="2" applyFont="1" applyBorder="1"/>
    <xf numFmtId="9" fontId="2" fillId="0" borderId="14" xfId="2" applyFont="1" applyBorder="1"/>
    <xf numFmtId="9" fontId="2" fillId="0" borderId="15" xfId="2" applyFont="1" applyBorder="1"/>
    <xf numFmtId="9" fontId="2" fillId="0" borderId="12" xfId="0" applyNumberFormat="1" applyFont="1" applyBorder="1"/>
    <xf numFmtId="9" fontId="2" fillId="0" borderId="13" xfId="0" applyNumberFormat="1" applyFont="1" applyBorder="1"/>
    <xf numFmtId="0" fontId="2" fillId="0" borderId="16" xfId="0" applyFont="1" applyBorder="1"/>
    <xf numFmtId="44" fontId="3" fillId="0" borderId="13" xfId="0" applyNumberFormat="1" applyFont="1" applyBorder="1"/>
    <xf numFmtId="44" fontId="2" fillId="0" borderId="12" xfId="0" applyNumberFormat="1" applyFont="1" applyFill="1" applyBorder="1"/>
    <xf numFmtId="44" fontId="2" fillId="0" borderId="13" xfId="0" applyNumberFormat="1" applyFont="1" applyFill="1" applyBorder="1"/>
    <xf numFmtId="44" fontId="2" fillId="0" borderId="12" xfId="1" applyFont="1" applyBorder="1" applyAlignment="1">
      <alignment horizontal="right"/>
    </xf>
    <xf numFmtId="44" fontId="2" fillId="0" borderId="13" xfId="1" applyFont="1" applyBorder="1" applyAlignment="1">
      <alignment horizontal="right"/>
    </xf>
    <xf numFmtId="44" fontId="2" fillId="0" borderId="14" xfId="1" applyFont="1" applyBorder="1" applyAlignment="1">
      <alignment horizontal="right"/>
    </xf>
    <xf numFmtId="44" fontId="2" fillId="0" borderId="15" xfId="1" applyFont="1" applyBorder="1" applyAlignment="1">
      <alignment horizontal="right"/>
    </xf>
    <xf numFmtId="44" fontId="2" fillId="0" borderId="10" xfId="1" applyFont="1" applyBorder="1" applyAlignment="1">
      <alignment horizontal="right"/>
    </xf>
    <xf numFmtId="9" fontId="2" fillId="0" borderId="11" xfId="1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" xfId="0" applyFont="1" applyBorder="1"/>
    <xf numFmtId="0" fontId="2" fillId="0" borderId="14" xfId="0" applyFont="1" applyBorder="1"/>
    <xf numFmtId="0" fontId="2" fillId="0" borderId="15" xfId="0" applyFont="1" applyBorder="1"/>
    <xf numFmtId="44" fontId="3" fillId="0" borderId="12" xfId="0" applyNumberFormat="1" applyFont="1" applyBorder="1"/>
    <xf numFmtId="166" fontId="2" fillId="0" borderId="0" xfId="0" applyNumberFormat="1" applyFont="1"/>
    <xf numFmtId="166" fontId="2" fillId="0" borderId="1" xfId="0" applyNumberFormat="1" applyFont="1" applyBorder="1"/>
    <xf numFmtId="166" fontId="2" fillId="0" borderId="15" xfId="0" applyNumberFormat="1" applyFont="1" applyBorder="1"/>
    <xf numFmtId="0" fontId="2" fillId="0" borderId="17" xfId="0" applyFont="1" applyBorder="1"/>
    <xf numFmtId="0" fontId="2" fillId="0" borderId="17" xfId="0" applyFont="1" applyFill="1" applyBorder="1"/>
    <xf numFmtId="44" fontId="2" fillId="0" borderId="17" xfId="0" applyNumberFormat="1" applyFont="1" applyFill="1" applyBorder="1"/>
    <xf numFmtId="44" fontId="2" fillId="0" borderId="18" xfId="0" applyNumberFormat="1" applyFont="1" applyFill="1" applyBorder="1"/>
    <xf numFmtId="44" fontId="2" fillId="0" borderId="19" xfId="0" applyNumberFormat="1" applyFont="1" applyFill="1" applyBorder="1"/>
    <xf numFmtId="44" fontId="2" fillId="0" borderId="17" xfId="0" applyNumberFormat="1" applyFont="1" applyBorder="1"/>
    <xf numFmtId="44" fontId="2" fillId="0" borderId="18" xfId="0" applyNumberFormat="1" applyFont="1" applyBorder="1"/>
    <xf numFmtId="44" fontId="2" fillId="0" borderId="19" xfId="0" applyNumberFormat="1" applyFont="1" applyBorder="1"/>
    <xf numFmtId="44" fontId="2" fillId="0" borderId="20" xfId="0" applyNumberFormat="1" applyFont="1" applyBorder="1"/>
    <xf numFmtId="44" fontId="2" fillId="0" borderId="21" xfId="0" applyNumberFormat="1" applyFont="1" applyBorder="1"/>
    <xf numFmtId="44" fontId="2" fillId="0" borderId="22" xfId="0" applyNumberFormat="1" applyFont="1" applyBorder="1"/>
    <xf numFmtId="0" fontId="3" fillId="0" borderId="17" xfId="0" applyFont="1" applyBorder="1" applyAlignment="1">
      <alignment horizontal="left"/>
    </xf>
    <xf numFmtId="44" fontId="7" fillId="0" borderId="17" xfId="1" applyFont="1" applyBorder="1" applyAlignment="1">
      <alignment horizontal="left"/>
    </xf>
    <xf numFmtId="0" fontId="2" fillId="0" borderId="2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Validation of Bottom-Up</a:t>
            </a:r>
            <a:r>
              <a:rPr lang="en-US" sz="2000" baseline="0"/>
              <a:t> Estimate with Q4 2012 Inputs</a:t>
            </a:r>
            <a:endParaRPr lang="en-US" sz="2000"/>
          </a:p>
        </c:rich>
      </c:tx>
      <c:layout>
        <c:manualLayout>
          <c:xMode val="edge"/>
          <c:yMode val="edge"/>
          <c:x val="0.12996850179156963"/>
          <c:y val="2.42634320943115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122548818525416"/>
          <c:y val="0.10091677244769472"/>
          <c:w val="0.53546145470441153"/>
          <c:h val="0.730654092137676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'Reported China NREL model comp'!$C$9</c:f>
              <c:strCache>
                <c:ptCount val="1"/>
                <c:pt idx="0">
                  <c:v>COGs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600" b="1" i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'Reported China NREL model comp'!$J$7:$K$8</c:f>
              <c:multiLvlStrCache>
                <c:ptCount val="2"/>
                <c:lvl>
                  <c:pt idx="0">
                    <c:v>Yingli Reported</c:v>
                  </c:pt>
                  <c:pt idx="1">
                    <c:v>NREL bottom-up estimate</c:v>
                  </c:pt>
                </c:lvl>
                <c:lvl>
                  <c:pt idx="0">
                    <c:v>Q4 2012</c:v>
                  </c:pt>
                </c:lvl>
              </c:multiLvlStrCache>
            </c:multiLvlStrRef>
          </c:cat>
          <c:val>
            <c:numRef>
              <c:f>'Reported China NREL model comp'!$J$9:$K$9</c:f>
              <c:numCache>
                <c:formatCode>_("$"* #,##0.00_);_("$"* \(#,##0.00\);_("$"* "-"??_);_(@_)</c:formatCode>
                <c:ptCount val="2"/>
                <c:pt idx="0">
                  <c:v>0.6727806536393548</c:v>
                </c:pt>
                <c:pt idx="1">
                  <c:v>0.62754402497608808</c:v>
                </c:pt>
              </c:numCache>
            </c:numRef>
          </c:val>
        </c:ser>
        <c:ser>
          <c:idx val="1"/>
          <c:order val="1"/>
          <c:tx>
            <c:strRef>
              <c:f>'Reported China NREL model comp'!$C$10</c:f>
              <c:strCache>
                <c:ptCount val="1"/>
                <c:pt idx="0">
                  <c:v>Opex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multiLvlStrRef>
              <c:f>'Reported China NREL model comp'!$J$7:$K$8</c:f>
              <c:multiLvlStrCache>
                <c:ptCount val="2"/>
                <c:lvl>
                  <c:pt idx="0">
                    <c:v>Yingli Reported</c:v>
                  </c:pt>
                  <c:pt idx="1">
                    <c:v>NREL bottom-up estimate</c:v>
                  </c:pt>
                </c:lvl>
                <c:lvl>
                  <c:pt idx="0">
                    <c:v>Q4 2012</c:v>
                  </c:pt>
                </c:lvl>
              </c:multiLvlStrCache>
            </c:multiLvlStrRef>
          </c:cat>
          <c:val>
            <c:numRef>
              <c:f>'Reported China NREL model comp'!$J$10:$K$10</c:f>
              <c:numCache>
                <c:formatCode>General</c:formatCode>
                <c:ptCount val="2"/>
                <c:pt idx="0" formatCode="_(&quot;$&quot;* #,##0.00_);_(&quot;$&quot;* \(#,##0.00\);_(&quot;$&quot;* &quot;-&quot;??_);_(@_)">
                  <c:v>0.20473205821082838</c:v>
                </c:pt>
              </c:numCache>
            </c:numRef>
          </c:val>
        </c:ser>
        <c:ser>
          <c:idx val="2"/>
          <c:order val="2"/>
          <c:tx>
            <c:strRef>
              <c:f>'Reported China NREL model comp'!$C$11</c:f>
              <c:strCache>
                <c:ptCount val="1"/>
                <c:pt idx="0">
                  <c:v>Debt Service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multiLvlStrRef>
              <c:f>'Reported China NREL model comp'!$J$7:$K$8</c:f>
              <c:multiLvlStrCache>
                <c:ptCount val="2"/>
                <c:lvl>
                  <c:pt idx="0">
                    <c:v>Yingli Reported</c:v>
                  </c:pt>
                  <c:pt idx="1">
                    <c:v>NREL bottom-up estimate</c:v>
                  </c:pt>
                </c:lvl>
                <c:lvl>
                  <c:pt idx="0">
                    <c:v>Q4 2012</c:v>
                  </c:pt>
                </c:lvl>
              </c:multiLvlStrCache>
            </c:multiLvlStrRef>
          </c:cat>
          <c:val>
            <c:numRef>
              <c:f>'Reported China NREL model comp'!$J$11:$K$11</c:f>
              <c:numCache>
                <c:formatCode>General</c:formatCode>
                <c:ptCount val="2"/>
                <c:pt idx="0" formatCode="_(&quot;$&quot;* #,##0.00_);_(&quot;$&quot;* \(#,##0.00\);_(&quot;$&quot;* &quot;-&quot;??_);_(@_)">
                  <c:v>4.8568926423545974E-2</c:v>
                </c:pt>
              </c:numCache>
            </c:numRef>
          </c:val>
        </c:ser>
        <c:ser>
          <c:idx val="3"/>
          <c:order val="3"/>
          <c:tx>
            <c:strRef>
              <c:f>'Reported China NREL model comp'!$C$12</c:f>
              <c:strCache>
                <c:ptCount val="1"/>
                <c:pt idx="0">
                  <c:v>Operating and Net Margins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multiLvlStrRef>
              <c:f>'Reported China NREL model comp'!$J$7:$K$8</c:f>
              <c:multiLvlStrCache>
                <c:ptCount val="2"/>
                <c:lvl>
                  <c:pt idx="0">
                    <c:v>Yingli Reported</c:v>
                  </c:pt>
                  <c:pt idx="1">
                    <c:v>NREL bottom-up estimate</c:v>
                  </c:pt>
                </c:lvl>
                <c:lvl>
                  <c:pt idx="0">
                    <c:v>Q4 2012</c:v>
                  </c:pt>
                </c:lvl>
              </c:multiLvlStrCache>
            </c:multiLvlStrRef>
          </c:cat>
          <c:val>
            <c:numRef>
              <c:f>'Reported China NREL model comp'!$J$12:$K$12</c:f>
              <c:numCache>
                <c:formatCode>_("$"* #,##0.00_);_("$"* \(#,##0.00\);_("$"* "-"??_);_(@_)</c:formatCode>
                <c:ptCount val="2"/>
                <c:pt idx="1">
                  <c:v>0.180886020529064</c:v>
                </c:pt>
              </c:numCache>
            </c:numRef>
          </c:val>
        </c:ser>
        <c:ser>
          <c:idx val="4"/>
          <c:order val="4"/>
          <c:tx>
            <c:v>X</c:v>
          </c:tx>
          <c:spPr>
            <a:noFill/>
          </c:spPr>
          <c:invertIfNegative val="0"/>
          <c:dLbls>
            <c:dLbl>
              <c:idx val="5"/>
              <c:layout>
                <c:manualLayout>
                  <c:x val="-1.1534871531521805E-7"/>
                  <c:y val="0.2050369951944255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2000" b="1" i="1"/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'Reported China NREL model comp'!$J$7:$K$8</c:f>
              <c:multiLvlStrCache>
                <c:ptCount val="2"/>
                <c:lvl>
                  <c:pt idx="0">
                    <c:v>Yingli Reported</c:v>
                  </c:pt>
                  <c:pt idx="1">
                    <c:v>NREL bottom-up estimate</c:v>
                  </c:pt>
                </c:lvl>
                <c:lvl>
                  <c:pt idx="0">
                    <c:v>Q4 2012</c:v>
                  </c:pt>
                </c:lvl>
              </c:multiLvlStrCache>
            </c:multiLvlStrRef>
          </c:cat>
          <c:val>
            <c:numRef>
              <c:f>'Reported China NREL model comp'!$J$13:$K$13</c:f>
              <c:numCache>
                <c:formatCode>_("$"* #,##0.00_);_("$"* \(#,##0.00\);_("$"* "-"??_);_(@_)</c:formatCode>
                <c:ptCount val="2"/>
                <c:pt idx="0">
                  <c:v>0.92608163827372914</c:v>
                </c:pt>
                <c:pt idx="1">
                  <c:v>0.80843004550515207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overlap val="100"/>
        <c:axId val="177305856"/>
        <c:axId val="177328128"/>
      </c:barChart>
      <c:lineChart>
        <c:grouping val="standard"/>
        <c:varyColors val="0"/>
        <c:ser>
          <c:idx val="6"/>
          <c:order val="5"/>
          <c:tx>
            <c:strRef>
              <c:f>'Reported China NREL model comp'!$C$5</c:f>
              <c:strCache>
                <c:ptCount val="1"/>
                <c:pt idx="0">
                  <c:v>COGs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1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dLbls>
            <c:txPr>
              <a:bodyPr/>
              <a:lstStyle/>
              <a:p>
                <a:pPr>
                  <a:defRPr sz="1600" b="1" i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'Reported China NREL model comp'!$J$5:$K$5</c:f>
              <c:numCache>
                <c:formatCode>General</c:formatCode>
                <c:ptCount val="2"/>
                <c:pt idx="0" formatCode="_(&quot;$&quot;* #,##0.00_);_(&quot;$&quot;* \(#,##0.00\);_(&quot;$&quot;* &quot;-&quot;??_);_(@_)">
                  <c:v>0.63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05856"/>
        <c:axId val="177328128"/>
      </c:lineChart>
      <c:catAx>
        <c:axId val="1773058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n-US"/>
          </a:p>
        </c:txPr>
        <c:crossAx val="177328128"/>
        <c:crosses val="autoZero"/>
        <c:auto val="1"/>
        <c:lblAlgn val="ctr"/>
        <c:lblOffset val="100"/>
        <c:noMultiLvlLbl val="0"/>
      </c:catAx>
      <c:valAx>
        <c:axId val="177328128"/>
        <c:scaling>
          <c:orientation val="minMax"/>
          <c:max val="1.2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2000"/>
                </a:pPr>
                <a:r>
                  <a:rPr lang="en-US" sz="2000"/>
                  <a:t>Module Price (Nominal $U.S. per W</a:t>
                </a:r>
                <a:r>
                  <a:rPr lang="en-US" sz="2000" baseline="-25000"/>
                  <a:t>P DC</a:t>
                </a:r>
                <a:r>
                  <a:rPr lang="en-US" sz="2000" baseline="0"/>
                  <a:t>)</a:t>
                </a:r>
              </a:p>
            </c:rich>
          </c:tx>
          <c:layout>
            <c:manualLayout>
              <c:xMode val="edge"/>
              <c:yMode val="edge"/>
              <c:x val="1.1735881877616304E-2"/>
              <c:y val="0.13080168910899645"/>
            </c:manualLayout>
          </c:layout>
          <c:overlay val="0"/>
        </c:title>
        <c:numFmt formatCode="_(&quot;$&quot;* #,##0.00_);_(&quot;$&quot;* \(#,##0.00\);_(&quot;$&quot;* &quot;-&quot;??_);_(@_)" sourceLinked="1"/>
        <c:majorTickMark val="out"/>
        <c:minorTickMark val="out"/>
        <c:tickLblPos val="nextTo"/>
        <c:txPr>
          <a:bodyPr/>
          <a:lstStyle/>
          <a:p>
            <a:pPr>
              <a:defRPr sz="1800"/>
            </a:pPr>
            <a:endParaRPr lang="en-US"/>
          </a:p>
        </c:txPr>
        <c:crossAx val="177305856"/>
        <c:crosses val="autoZero"/>
        <c:crossBetween val="between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2782408781291019"/>
          <c:y val="0.10981396684708432"/>
          <c:w val="0.25018504127488533"/>
          <c:h val="0.71980296810419053"/>
        </c:manualLayout>
      </c:layout>
      <c:overlay val="0"/>
      <c:spPr>
        <a:ln>
          <a:noFill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0.41886</cdr:x>
      <cdr:y>0.09879</cdr:y>
    </cdr:from>
    <cdr:to>
      <cdr:x>0.41887</cdr:x>
      <cdr:y>0.88394</cdr:y>
    </cdr:to>
    <cdr:cxnSp macro="">
      <cdr:nvCxnSpPr>
        <cdr:cNvPr id="6" name="Straight Connector 5"/>
        <cdr:cNvCxnSpPr/>
      </cdr:nvCxnSpPr>
      <cdr:spPr>
        <a:xfrm xmlns:a="http://schemas.openxmlformats.org/drawingml/2006/main" flipV="1">
          <a:off x="3624893" y="620486"/>
          <a:ext cx="50" cy="4931617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0.72737</cdr:x>
      <cdr:y>0.09328</cdr:y>
    </cdr:from>
    <cdr:to>
      <cdr:x>0.98547</cdr:x>
      <cdr:y>0.63991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6294764" y="585135"/>
          <a:ext cx="2233634" cy="3428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0.74224</cdr:x>
      <cdr:y>0.09982</cdr:y>
    </cdr:from>
    <cdr:to>
      <cdr:x>0.97541</cdr:x>
      <cdr:y>0.15836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423492" y="626129"/>
          <a:ext cx="2017887" cy="3672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latin typeface="Arial Narrow" pitchFamily="34" charset="0"/>
            </a:rPr>
            <a:t>'Reported' Source: 6K Filing</a:t>
          </a:r>
        </a:p>
      </cdr:txBody>
    </cdr:sp>
  </cdr:relSizeAnchor>
  <cdr:relSizeAnchor xmlns:cdr="http://schemas.openxmlformats.org/drawingml/2006/chartDrawing">
    <cdr:from>
      <cdr:x>0.72884</cdr:x>
      <cdr:y>0.6551</cdr:y>
    </cdr:from>
    <cdr:to>
      <cdr:x>0.98694</cdr:x>
      <cdr:y>0.80043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6307486" y="4109356"/>
          <a:ext cx="2233634" cy="9116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0.74204</cdr:x>
      <cdr:y>0.65538</cdr:y>
    </cdr:from>
    <cdr:to>
      <cdr:x>0.97521</cdr:x>
      <cdr:y>0.71392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421720" y="4111146"/>
          <a:ext cx="2017887" cy="3672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latin typeface="Arial Narrow" pitchFamily="34" charset="0"/>
            </a:rPr>
            <a:t>'Reported</a:t>
          </a:r>
          <a:r>
            <a:rPr lang="en-US" sz="1400" b="1" baseline="0">
              <a:latin typeface="Arial Narrow" pitchFamily="34" charset="0"/>
            </a:rPr>
            <a:t>' Source: </a:t>
          </a:r>
          <a:br>
            <a:rPr lang="en-US" sz="1400" b="1" baseline="0">
              <a:latin typeface="Arial Narrow" pitchFamily="34" charset="0"/>
            </a:rPr>
          </a:br>
          <a:r>
            <a:rPr lang="en-US" sz="1400" b="1">
              <a:latin typeface="Arial Narrow" pitchFamily="34" charset="0"/>
            </a:rPr>
            <a:t>Earning Call:</a:t>
          </a:r>
          <a:r>
            <a:rPr lang="en-US" sz="1400" b="1" baseline="0">
              <a:latin typeface="Arial Narrow" pitchFamily="34" charset="0"/>
            </a:rPr>
            <a:t> Supp. Matrls.</a:t>
          </a:r>
          <a:endParaRPr lang="en-US" sz="1400" b="1">
            <a:latin typeface="Arial Narrow" pitchFamily="34" charset="0"/>
          </a:endParaRPr>
        </a:p>
      </cdr:txBody>
    </cdr:sp>
  </cdr:relSizeAnchor>
  <cdr:relSizeAnchor xmlns:cdr="http://schemas.openxmlformats.org/drawingml/2006/chartDrawing">
    <cdr:from>
      <cdr:x>0.00084</cdr:x>
      <cdr:y>0.94874</cdr:y>
    </cdr:from>
    <cdr:to>
      <cdr:x>0.10642</cdr:x>
      <cdr:y>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257" y="5969000"/>
          <a:ext cx="914400" cy="3225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b"/>
        <a:lstStyle xmlns:a="http://schemas.openxmlformats.org/drawingml/2006/main"/>
        <a:p xmlns:a="http://schemas.openxmlformats.org/drawingml/2006/main">
          <a:r>
            <a:rPr lang="en-US" sz="1050" i="1"/>
            <a:t>*Company reported:</a:t>
          </a:r>
          <a:r>
            <a:rPr lang="en-US" sz="1050" i="1" baseline="0"/>
            <a:t> e</a:t>
          </a:r>
          <a:r>
            <a:rPr lang="en-US" sz="1050" i="1"/>
            <a:t>xcludes returns</a:t>
          </a:r>
          <a:r>
            <a:rPr lang="en-US" sz="1050" i="1" baseline="0"/>
            <a:t> for equity shareholders; NREL model includes returns on all capital (China based manufacturer WACC = 12.6%).</a:t>
          </a:r>
          <a:endParaRPr lang="en-US" sz="1050" i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1"/>
  <sheetViews>
    <sheetView tabSelected="1" zoomScale="80" zoomScaleNormal="80" workbookViewId="0"/>
  </sheetViews>
  <sheetFormatPr defaultColWidth="9.109375" defaultRowHeight="13.8" x14ac:dyDescent="0.25"/>
  <cols>
    <col min="1" max="2" width="9.109375" style="1"/>
    <col min="3" max="3" width="28.6640625" style="1" bestFit="1" customWidth="1"/>
    <col min="4" max="5" width="11.109375" style="4" customWidth="1"/>
    <col min="6" max="7" width="12.44140625" style="4" bestFit="1" customWidth="1"/>
    <col min="8" max="8" width="15.44140625" style="34" customWidth="1"/>
    <col min="9" max="9" width="19.6640625" style="32" customWidth="1"/>
    <col min="10" max="10" width="61.33203125" style="32" bestFit="1" customWidth="1"/>
    <col min="11" max="12" width="18.109375" style="4" customWidth="1"/>
    <col min="13" max="16384" width="9.109375" style="1"/>
  </cols>
  <sheetData>
    <row r="3" spans="3:10" ht="15" x14ac:dyDescent="0.25">
      <c r="C3" s="2" t="s">
        <v>90</v>
      </c>
    </row>
    <row r="4" spans="3:10" ht="45" x14ac:dyDescent="0.25">
      <c r="D4" s="4" t="s">
        <v>62</v>
      </c>
      <c r="E4" s="4" t="s">
        <v>63</v>
      </c>
      <c r="F4" s="4" t="s">
        <v>64</v>
      </c>
      <c r="G4" s="4" t="s">
        <v>65</v>
      </c>
      <c r="H4" s="39" t="s">
        <v>100</v>
      </c>
      <c r="I4" s="32" t="s">
        <v>95</v>
      </c>
      <c r="J4" s="32" t="s">
        <v>91</v>
      </c>
    </row>
    <row r="5" spans="3:10" ht="15" x14ac:dyDescent="0.25">
      <c r="C5" s="1" t="s">
        <v>72</v>
      </c>
      <c r="D5" s="5">
        <v>0.56999999999999995</v>
      </c>
      <c r="E5" s="5">
        <v>0.55000000000000004</v>
      </c>
      <c r="F5" s="5">
        <v>0.53</v>
      </c>
      <c r="G5" s="5">
        <v>0.48</v>
      </c>
      <c r="I5" s="32" t="s">
        <v>96</v>
      </c>
      <c r="J5" s="32" t="s">
        <v>92</v>
      </c>
    </row>
    <row r="6" spans="3:10" ht="15" x14ac:dyDescent="0.25">
      <c r="C6" s="1" t="s">
        <v>73</v>
      </c>
      <c r="D6" s="6">
        <v>0.3</v>
      </c>
      <c r="E6" s="6">
        <v>0.22</v>
      </c>
      <c r="F6" s="6">
        <v>0.17</v>
      </c>
      <c r="G6" s="6">
        <v>0.15</v>
      </c>
      <c r="I6" s="32" t="s">
        <v>96</v>
      </c>
      <c r="J6" s="32" t="s">
        <v>92</v>
      </c>
    </row>
    <row r="7" spans="3:10" ht="15" x14ac:dyDescent="0.25">
      <c r="C7" s="1" t="s">
        <v>74</v>
      </c>
      <c r="D7" s="5">
        <f>SUM(D5:D6)</f>
        <v>0.86999999999999988</v>
      </c>
      <c r="E7" s="5">
        <f t="shared" ref="E7:G7" si="0">SUM(E5:E6)</f>
        <v>0.77</v>
      </c>
      <c r="F7" s="5">
        <f t="shared" si="0"/>
        <v>0.70000000000000007</v>
      </c>
      <c r="G7" s="5">
        <f t="shared" si="0"/>
        <v>0.63</v>
      </c>
      <c r="I7" s="32" t="s">
        <v>96</v>
      </c>
      <c r="J7" s="32" t="s">
        <v>92</v>
      </c>
    </row>
    <row r="8" spans="3:10" ht="15" x14ac:dyDescent="0.25">
      <c r="D8" s="5"/>
      <c r="E8" s="5"/>
      <c r="F8" s="5"/>
      <c r="G8" s="5"/>
    </row>
    <row r="9" spans="3:10" ht="15.75" thickBot="1" x14ac:dyDescent="0.3">
      <c r="C9" s="1" t="s">
        <v>75</v>
      </c>
      <c r="D9" s="30">
        <f>(D11/$H$11)*D7</f>
        <v>0.19726544035506516</v>
      </c>
      <c r="E9" s="30">
        <f>(E11/$H$11)*E7</f>
        <v>0.19851023583303162</v>
      </c>
      <c r="F9" s="30">
        <f>(F11/$H$11)*F7</f>
        <v>0.14996544474280482</v>
      </c>
      <c r="G9" s="30">
        <f>(G11/$H$11)*G7</f>
        <v>0.18976624620658114</v>
      </c>
      <c r="H9" s="35">
        <f>SUM(D9:G9)</f>
        <v>0.73550736713748266</v>
      </c>
      <c r="I9" s="32" t="s">
        <v>93</v>
      </c>
      <c r="J9" s="32" t="s">
        <v>98</v>
      </c>
    </row>
    <row r="10" spans="3:10" ht="15.75" thickTop="1" x14ac:dyDescent="0.25"/>
    <row r="11" spans="3:10" ht="15" x14ac:dyDescent="0.25">
      <c r="C11" s="1" t="s">
        <v>67</v>
      </c>
      <c r="D11" s="21">
        <v>520.84878510301644</v>
      </c>
      <c r="E11" s="21">
        <v>592.20501653514407</v>
      </c>
      <c r="F11" s="21">
        <v>492.12231874099996</v>
      </c>
      <c r="G11" s="21">
        <v>691.92387962085945</v>
      </c>
      <c r="H11" s="34">
        <f>SUM(D11:G11)</f>
        <v>2297.1000000000204</v>
      </c>
      <c r="I11" s="32" t="s">
        <v>93</v>
      </c>
      <c r="J11" s="32" t="s">
        <v>99</v>
      </c>
    </row>
    <row r="12" spans="3:10" ht="15" x14ac:dyDescent="0.25">
      <c r="E12" s="22"/>
      <c r="F12" s="22"/>
      <c r="G12" s="22"/>
    </row>
    <row r="13" spans="3:10" ht="15" x14ac:dyDescent="0.25">
      <c r="C13" s="1" t="s">
        <v>66</v>
      </c>
      <c r="E13" s="22">
        <v>0.13700000000000001</v>
      </c>
      <c r="F13" s="22">
        <v>-0.16900000000000001</v>
      </c>
      <c r="G13" s="22">
        <v>0.40600000000000003</v>
      </c>
      <c r="I13" s="32" t="s">
        <v>97</v>
      </c>
      <c r="J13" s="32" t="s">
        <v>94</v>
      </c>
    </row>
    <row r="15" spans="3:10" ht="15" x14ac:dyDescent="0.25">
      <c r="C15" s="1" t="s">
        <v>70</v>
      </c>
      <c r="D15" s="20">
        <f>493756</f>
        <v>493756</v>
      </c>
      <c r="E15" s="20">
        <f>477141</f>
        <v>477141</v>
      </c>
      <c r="F15" s="20">
        <f>344401</f>
        <v>344401</v>
      </c>
      <c r="G15" s="20">
        <f>430903</f>
        <v>430903</v>
      </c>
      <c r="I15" s="32" t="s">
        <v>97</v>
      </c>
      <c r="J15" s="32" t="s">
        <v>94</v>
      </c>
    </row>
    <row r="16" spans="3:10" ht="15" x14ac:dyDescent="0.25">
      <c r="C16" s="1" t="s">
        <v>71</v>
      </c>
      <c r="D16" s="20">
        <f>456324</f>
        <v>456324</v>
      </c>
      <c r="E16" s="20">
        <f>456324</f>
        <v>456324</v>
      </c>
      <c r="F16" s="20">
        <f>424898</f>
        <v>424898</v>
      </c>
      <c r="G16" s="20">
        <f>465513</f>
        <v>465513</v>
      </c>
      <c r="I16" s="32" t="s">
        <v>97</v>
      </c>
      <c r="J16" s="32" t="s">
        <v>94</v>
      </c>
    </row>
    <row r="17" spans="2:13" ht="15" x14ac:dyDescent="0.25">
      <c r="C17" s="24" t="s">
        <v>76</v>
      </c>
      <c r="D17" s="26">
        <f>D16/(D11*1000)</f>
        <v>0.87611608791550821</v>
      </c>
      <c r="E17" s="26">
        <f>E16/(E11*1000)</f>
        <v>0.77055071682750553</v>
      </c>
      <c r="F17" s="26">
        <f>F16/(F11*1000)</f>
        <v>0.86339916687180451</v>
      </c>
      <c r="G17" s="26">
        <f>G16/(G11*1000)</f>
        <v>0.6727806536393548</v>
      </c>
      <c r="I17" s="32" t="s">
        <v>97</v>
      </c>
      <c r="J17" s="32" t="s">
        <v>94</v>
      </c>
    </row>
    <row r="18" spans="2:13" ht="15.75" thickBot="1" x14ac:dyDescent="0.3">
      <c r="B18" s="17"/>
      <c r="C18" s="17"/>
      <c r="D18" s="29">
        <f>(D11/$H$11)*D17</f>
        <v>0.19865221366070085</v>
      </c>
      <c r="E18" s="29">
        <f>(E11/$H$11)*E17</f>
        <v>0.19865221366070088</v>
      </c>
      <c r="F18" s="29">
        <f>(F11/$H$11)*F17</f>
        <v>0.18497148578642472</v>
      </c>
      <c r="G18" s="29">
        <f>(G11/$H$11)*G17</f>
        <v>0.2026524748596038</v>
      </c>
      <c r="H18" s="38">
        <f>SUM(D18:G18)</f>
        <v>0.78492838796743025</v>
      </c>
      <c r="I18" s="32" t="s">
        <v>93</v>
      </c>
      <c r="J18" s="32" t="s">
        <v>99</v>
      </c>
      <c r="K18" s="28"/>
      <c r="L18" s="28"/>
      <c r="M18" s="17"/>
    </row>
    <row r="19" spans="2:13" ht="15.75" thickTop="1" x14ac:dyDescent="0.25">
      <c r="B19" s="17"/>
      <c r="C19" s="17"/>
      <c r="D19" s="27"/>
      <c r="E19" s="27"/>
      <c r="F19" s="27"/>
      <c r="G19" s="27"/>
      <c r="H19" s="36"/>
      <c r="I19" s="33"/>
      <c r="J19" s="33"/>
      <c r="K19" s="28"/>
      <c r="L19" s="28"/>
      <c r="M19" s="17"/>
    </row>
    <row r="20" spans="2:13" ht="15" x14ac:dyDescent="0.25">
      <c r="C20" s="1" t="s">
        <v>68</v>
      </c>
      <c r="D20" s="23">
        <f>(493756-456324)/493756</f>
        <v>7.5810724325375292E-2</v>
      </c>
      <c r="E20" s="23">
        <f>(477141-456324)/477141</f>
        <v>4.3628612925738934E-2</v>
      </c>
      <c r="F20" s="23">
        <f>(344401-424898)/344401</f>
        <v>-0.23373044793714304</v>
      </c>
      <c r="G20" s="23">
        <f>(430903-465513)/430903</f>
        <v>-8.0319700721508083E-2</v>
      </c>
      <c r="I20" s="32" t="s">
        <v>97</v>
      </c>
      <c r="J20" s="32" t="s">
        <v>94</v>
      </c>
    </row>
    <row r="22" spans="2:13" x14ac:dyDescent="0.25">
      <c r="C22" s="24" t="s">
        <v>77</v>
      </c>
      <c r="D22" s="25">
        <f>60335/(D11*1000)</f>
        <v>0.11583976333566104</v>
      </c>
      <c r="E22" s="25">
        <f>73702/(E11*1000)</f>
        <v>0.12445352190904009</v>
      </c>
      <c r="F22" s="25">
        <f>67427/(F11*1000)</f>
        <v>0.13701268451408377</v>
      </c>
      <c r="G22" s="25">
        <f>141659/(G11*1000)</f>
        <v>0.20473205821082838</v>
      </c>
      <c r="I22" s="32" t="s">
        <v>97</v>
      </c>
      <c r="J22" s="32" t="s">
        <v>94</v>
      </c>
    </row>
    <row r="23" spans="2:13" x14ac:dyDescent="0.25">
      <c r="C23" s="24" t="s">
        <v>78</v>
      </c>
      <c r="D23" s="25">
        <f>32143/(D11*1000)</f>
        <v>6.1712729143915686E-2</v>
      </c>
      <c r="E23" s="25">
        <f>36098/(E11*1000)</f>
        <v>6.0955241837026525E-2</v>
      </c>
      <c r="F23" s="25">
        <f>40735/(F11*1000)</f>
        <v>8.2774136528114883E-2</v>
      </c>
      <c r="G23" s="25">
        <f>33606/(G11*1000)</f>
        <v>4.8568926423545974E-2</v>
      </c>
      <c r="I23" s="32" t="s">
        <v>97</v>
      </c>
      <c r="J23" s="32" t="s">
        <v>94</v>
      </c>
    </row>
    <row r="26" spans="2:13" x14ac:dyDescent="0.25">
      <c r="C26" s="24" t="s">
        <v>79</v>
      </c>
      <c r="D26" s="37">
        <f>D17+D22+D23</f>
        <v>1.0536685803950849</v>
      </c>
      <c r="E26" s="37">
        <f>E17+E22+E23</f>
        <v>0.95595948057357216</v>
      </c>
      <c r="F26" s="37">
        <f>F17+F22+F23</f>
        <v>1.0831859879140031</v>
      </c>
      <c r="G26" s="37">
        <f>G17+G22+G23</f>
        <v>0.92608163827372914</v>
      </c>
      <c r="I26" s="32" t="s">
        <v>93</v>
      </c>
      <c r="J26" s="32" t="s">
        <v>99</v>
      </c>
    </row>
    <row r="27" spans="2:13" ht="15" thickBot="1" x14ac:dyDescent="0.35">
      <c r="C27" s="1" t="s">
        <v>80</v>
      </c>
      <c r="D27" s="31">
        <f>(D11/$H$11)*D26</f>
        <v>0.23891080057463546</v>
      </c>
      <c r="E27" s="31">
        <f>(E11/$H$11)*E26</f>
        <v>0.24645161290322365</v>
      </c>
      <c r="F27" s="31">
        <f>(F11/$H$11)*F26</f>
        <v>0.23205781202385409</v>
      </c>
      <c r="G27" s="31">
        <f>(G11/$H$11)*G26</f>
        <v>0.2789508510730897</v>
      </c>
      <c r="H27" s="38">
        <f>SUM(D27:G27)</f>
        <v>0.99637107657480295</v>
      </c>
      <c r="I27" s="32" t="s">
        <v>93</v>
      </c>
      <c r="J27" s="32" t="s">
        <v>99</v>
      </c>
    </row>
    <row r="28" spans="2:13" ht="14.4" thickTop="1" x14ac:dyDescent="0.25"/>
    <row r="29" spans="2:13" x14ac:dyDescent="0.25">
      <c r="C29" s="24" t="s">
        <v>81</v>
      </c>
      <c r="D29" s="25">
        <f>D15/(D11*1000)</f>
        <v>0.94798339579949709</v>
      </c>
      <c r="E29" s="25">
        <f>E15/(E11*1000)</f>
        <v>0.80570239474100158</v>
      </c>
      <c r="F29" s="25">
        <f>F15/(F11*1000)</f>
        <v>0.69982804454202263</v>
      </c>
      <c r="G29" s="25">
        <f>G15/(G11*1000)</f>
        <v>0.62276070055005739</v>
      </c>
      <c r="I29" s="32" t="s">
        <v>93</v>
      </c>
      <c r="J29" s="32" t="s">
        <v>99</v>
      </c>
    </row>
    <row r="30" spans="2:13" ht="15" thickBot="1" x14ac:dyDescent="0.35">
      <c r="C30" s="1" t="s">
        <v>82</v>
      </c>
      <c r="D30" s="31">
        <f>(D11/$H$11)*D29</f>
        <v>0.2149475425536527</v>
      </c>
      <c r="E30" s="31">
        <f>(E11/$H$11)*E29</f>
        <v>0.20771450959905785</v>
      </c>
      <c r="F30" s="31">
        <f>(F11/$H$11)*F29</f>
        <v>0.14992860563318833</v>
      </c>
      <c r="G30" s="31">
        <f>(G11/$H$11)*G29</f>
        <v>0.18758565147359546</v>
      </c>
      <c r="H30" s="38">
        <f>SUM(D30:G30)</f>
        <v>0.76017630925949442</v>
      </c>
      <c r="I30" s="32" t="s">
        <v>93</v>
      </c>
      <c r="J30" s="32" t="s">
        <v>99</v>
      </c>
    </row>
    <row r="31" spans="2:13" ht="14.4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8"/>
  <sheetViews>
    <sheetView zoomScale="80" zoomScaleNormal="80" workbookViewId="0"/>
  </sheetViews>
  <sheetFormatPr defaultColWidth="9.109375" defaultRowHeight="13.8" x14ac:dyDescent="0.25"/>
  <cols>
    <col min="1" max="1" width="9.109375" style="1"/>
    <col min="2" max="2" width="25.33203125" style="1" customWidth="1"/>
    <col min="3" max="4" width="9.109375" style="1" customWidth="1"/>
    <col min="5" max="9" width="9.109375" style="1"/>
    <col min="10" max="10" width="11.77734375" style="1" customWidth="1"/>
    <col min="11" max="11" width="37.6640625" style="1" customWidth="1"/>
    <col min="12" max="13" width="10.109375" style="1" customWidth="1"/>
    <col min="14" max="15" width="10.5546875" style="1" customWidth="1"/>
    <col min="16" max="17" width="10" style="1" bestFit="1" customWidth="1"/>
    <col min="18" max="19" width="11.5546875" style="1" customWidth="1"/>
    <col min="20" max="16384" width="9.109375" style="1"/>
  </cols>
  <sheetData>
    <row r="1" spans="1:25" ht="14.4" x14ac:dyDescent="0.3">
      <c r="A1" s="2" t="s">
        <v>111</v>
      </c>
      <c r="J1" s="2" t="s">
        <v>112</v>
      </c>
      <c r="L1" s="2"/>
      <c r="M1" s="2"/>
      <c r="T1"/>
      <c r="U1"/>
      <c r="V1"/>
      <c r="W1"/>
      <c r="X1"/>
    </row>
    <row r="2" spans="1:25" ht="14.4" x14ac:dyDescent="0.3">
      <c r="K2" s="2"/>
      <c r="L2" s="2"/>
      <c r="M2" s="2"/>
      <c r="T2"/>
      <c r="U2"/>
      <c r="V2"/>
      <c r="W2"/>
      <c r="X2"/>
    </row>
    <row r="3" spans="1:25" ht="15" thickBot="1" x14ac:dyDescent="0.35">
      <c r="A3" s="14" t="s">
        <v>45</v>
      </c>
      <c r="B3" s="15"/>
      <c r="C3" s="101" t="s">
        <v>109</v>
      </c>
      <c r="D3" s="101"/>
      <c r="E3" s="101" t="s">
        <v>86</v>
      </c>
      <c r="F3" s="101"/>
      <c r="G3" s="101" t="s">
        <v>110</v>
      </c>
      <c r="H3" s="101"/>
      <c r="K3" s="2"/>
      <c r="L3" s="101" t="s">
        <v>109</v>
      </c>
      <c r="M3" s="101"/>
      <c r="N3" s="101" t="s">
        <v>86</v>
      </c>
      <c r="O3" s="101"/>
      <c r="P3" s="101" t="s">
        <v>110</v>
      </c>
      <c r="Q3" s="101"/>
      <c r="T3"/>
      <c r="U3"/>
      <c r="V3"/>
      <c r="W3"/>
      <c r="X3"/>
    </row>
    <row r="4" spans="1:25" ht="14.4" x14ac:dyDescent="0.3">
      <c r="C4" s="68"/>
      <c r="D4" s="51"/>
      <c r="E4" s="50"/>
      <c r="F4" s="51"/>
      <c r="K4" s="2"/>
      <c r="L4" s="2"/>
      <c r="M4" s="2"/>
      <c r="N4" s="50"/>
      <c r="O4" s="51"/>
      <c r="T4"/>
      <c r="U4"/>
      <c r="V4"/>
      <c r="W4"/>
      <c r="X4"/>
    </row>
    <row r="5" spans="1:25" ht="14.4" x14ac:dyDescent="0.3">
      <c r="C5" s="78" t="s">
        <v>4</v>
      </c>
      <c r="D5" s="80" t="s">
        <v>5</v>
      </c>
      <c r="E5" s="79" t="s">
        <v>4</v>
      </c>
      <c r="F5" s="80" t="s">
        <v>5</v>
      </c>
      <c r="G5" s="78" t="s">
        <v>4</v>
      </c>
      <c r="H5" s="78" t="s">
        <v>5</v>
      </c>
      <c r="L5" s="78" t="s">
        <v>4</v>
      </c>
      <c r="M5" s="80" t="s">
        <v>5</v>
      </c>
      <c r="N5" s="79" t="s">
        <v>4</v>
      </c>
      <c r="O5" s="80" t="s">
        <v>5</v>
      </c>
      <c r="P5" s="78" t="s">
        <v>4</v>
      </c>
      <c r="Q5" s="78" t="s">
        <v>5</v>
      </c>
      <c r="T5"/>
      <c r="U5"/>
      <c r="V5"/>
      <c r="W5"/>
      <c r="X5"/>
      <c r="Y5"/>
    </row>
    <row r="6" spans="1:25" ht="14.4" x14ac:dyDescent="0.3">
      <c r="A6" s="3"/>
      <c r="B6" s="1" t="s">
        <v>0</v>
      </c>
      <c r="C6" s="41">
        <v>0.17731087009948657</v>
      </c>
      <c r="D6" s="73">
        <v>0.1779229294798905</v>
      </c>
      <c r="E6" s="72">
        <v>0.11157112847996102</v>
      </c>
      <c r="F6" s="73">
        <v>0.11157112847996102</v>
      </c>
      <c r="G6" s="5">
        <v>0.11070611017986531</v>
      </c>
      <c r="H6" s="5">
        <v>0.11109083321897636</v>
      </c>
      <c r="J6" s="99" t="s">
        <v>32</v>
      </c>
      <c r="K6" s="88" t="s">
        <v>39</v>
      </c>
      <c r="L6" s="3">
        <f t="shared" ref="L6:Q6" si="0">SUM(C6:C9)</f>
        <v>0.23932603030467209</v>
      </c>
      <c r="M6" s="3">
        <f t="shared" si="0"/>
        <v>0.23063581565429817</v>
      </c>
      <c r="N6" s="58">
        <f t="shared" si="0"/>
        <v>0.17500677924287886</v>
      </c>
      <c r="O6" s="59">
        <f t="shared" si="0"/>
        <v>0.16549143162844115</v>
      </c>
      <c r="P6" s="3">
        <f t="shared" si="0"/>
        <v>0.17122556812820824</v>
      </c>
      <c r="Q6" s="3">
        <f t="shared" si="0"/>
        <v>0.16253237247506788</v>
      </c>
      <c r="T6"/>
      <c r="U6"/>
      <c r="V6"/>
      <c r="W6"/>
      <c r="X6"/>
      <c r="Y6"/>
    </row>
    <row r="7" spans="1:25" ht="14.4" x14ac:dyDescent="0.3">
      <c r="A7" s="3"/>
      <c r="B7" s="1" t="s">
        <v>6</v>
      </c>
      <c r="C7" s="41">
        <v>2.6728191858189861E-2</v>
      </c>
      <c r="D7" s="73">
        <v>2.271896307946138E-2</v>
      </c>
      <c r="E7" s="72">
        <v>2.678612977095738E-2</v>
      </c>
      <c r="F7" s="73">
        <v>2.2768210305313771E-2</v>
      </c>
      <c r="G7" s="5">
        <v>2.6550003912468648E-2</v>
      </c>
      <c r="H7" s="5">
        <v>2.256750332559835E-2</v>
      </c>
      <c r="J7" s="32"/>
      <c r="K7" s="1" t="s">
        <v>40</v>
      </c>
      <c r="L7" s="3">
        <f t="shared" ref="L7:Q7" si="1">C10+C16</f>
        <v>1.3267048802844274E-2</v>
      </c>
      <c r="M7" s="3">
        <f t="shared" si="1"/>
        <v>1.357253897360881E-2</v>
      </c>
      <c r="N7" s="58">
        <f t="shared" si="1"/>
        <v>4.7969762533597006E-2</v>
      </c>
      <c r="O7" s="59">
        <f t="shared" si="1"/>
        <v>1.2739901477714352E-2</v>
      </c>
      <c r="P7" s="3">
        <f t="shared" si="1"/>
        <v>4.6193377743331203E-2</v>
      </c>
      <c r="Q7" s="3">
        <f t="shared" si="1"/>
        <v>9.8607501999260477E-3</v>
      </c>
      <c r="T7"/>
      <c r="U7"/>
      <c r="V7"/>
      <c r="W7"/>
      <c r="X7"/>
      <c r="Y7"/>
    </row>
    <row r="8" spans="1:25" ht="14.4" x14ac:dyDescent="0.3">
      <c r="A8" s="3"/>
      <c r="B8" s="1" t="s">
        <v>7</v>
      </c>
      <c r="C8" s="41">
        <v>3.0633451272609684E-2</v>
      </c>
      <c r="D8" s="73">
        <v>2.6038433581718232E-2</v>
      </c>
      <c r="E8" s="72">
        <v>3.0633451272609701E-2</v>
      </c>
      <c r="F8" s="73">
        <v>2.6038433581718243E-2</v>
      </c>
      <c r="G8" s="5">
        <v>3.0429228264125679E-2</v>
      </c>
      <c r="H8" s="5">
        <v>2.5864844024506829E-2</v>
      </c>
      <c r="J8" s="32"/>
      <c r="K8" s="1" t="s">
        <v>41</v>
      </c>
      <c r="L8" s="3">
        <f t="shared" ref="L8:Q8" si="2">C11</f>
        <v>1.8210675126963241E-2</v>
      </c>
      <c r="M8" s="3">
        <f t="shared" si="2"/>
        <v>5.8477471939482042E-3</v>
      </c>
      <c r="N8" s="58">
        <f t="shared" si="2"/>
        <v>1.5702527590917888E-2</v>
      </c>
      <c r="O8" s="59">
        <f t="shared" si="2"/>
        <v>4.9980254405696889E-3</v>
      </c>
      <c r="P8" s="3">
        <f t="shared" si="2"/>
        <v>1.5391489984904258E-2</v>
      </c>
      <c r="Q8" s="3">
        <f t="shared" si="2"/>
        <v>4.9166606963942667E-3</v>
      </c>
      <c r="T8"/>
      <c r="U8"/>
      <c r="V8"/>
      <c r="W8"/>
      <c r="X8"/>
      <c r="Y8"/>
    </row>
    <row r="9" spans="1:25" ht="14.4" x14ac:dyDescent="0.3">
      <c r="A9" s="3"/>
      <c r="B9" s="1" t="s">
        <v>8</v>
      </c>
      <c r="C9" s="41">
        <v>4.6535170743859542E-3</v>
      </c>
      <c r="D9" s="73">
        <v>3.955489513228062E-3</v>
      </c>
      <c r="E9" s="72">
        <v>6.0160697193507506E-3</v>
      </c>
      <c r="F9" s="73">
        <v>5.113659261448137E-3</v>
      </c>
      <c r="G9" s="5">
        <v>3.54022577174862E-3</v>
      </c>
      <c r="H9" s="5">
        <v>3.0091919059863272E-3</v>
      </c>
      <c r="J9" s="32"/>
      <c r="K9" s="1" t="s">
        <v>42</v>
      </c>
      <c r="L9" s="3">
        <f t="shared" ref="L9:Q9" si="3">SUM(C12:C14)</f>
        <v>3.932868473004026E-2</v>
      </c>
      <c r="M9" s="3">
        <f t="shared" si="3"/>
        <v>2.0110873766882361E-2</v>
      </c>
      <c r="N9" s="58">
        <f t="shared" si="3"/>
        <v>3.7737156099303414E-2</v>
      </c>
      <c r="O9" s="59">
        <f t="shared" si="3"/>
        <v>1.9116811740566574E-2</v>
      </c>
      <c r="P9" s="3">
        <f t="shared" si="3"/>
        <v>2.8880134165313674E-2</v>
      </c>
      <c r="Q9" s="3">
        <f t="shared" si="3"/>
        <v>1.4549817110366308E-2</v>
      </c>
      <c r="T9"/>
      <c r="U9"/>
      <c r="V9"/>
      <c r="W9"/>
      <c r="X9"/>
      <c r="Y9"/>
    </row>
    <row r="10" spans="1:25" ht="14.4" x14ac:dyDescent="0.3">
      <c r="A10" s="3"/>
      <c r="B10" s="1" t="s">
        <v>9</v>
      </c>
      <c r="C10" s="41">
        <v>1.0828200076202629E-2</v>
      </c>
      <c r="D10" s="73">
        <v>1.1179763472274208E-2</v>
      </c>
      <c r="E10" s="72">
        <v>3.9581708052194069E-2</v>
      </c>
      <c r="F10" s="73">
        <v>1.0475368011151582E-2</v>
      </c>
      <c r="G10" s="5">
        <v>3.8336063045169975E-2</v>
      </c>
      <c r="H10" s="5">
        <v>8.2170855633174871E-3</v>
      </c>
      <c r="J10" s="32"/>
      <c r="K10" s="1" t="s">
        <v>1</v>
      </c>
      <c r="L10" s="3">
        <f t="shared" ref="L10:Q10" si="4">C15</f>
        <v>3.7006807386653719E-2</v>
      </c>
      <c r="M10" s="3">
        <f t="shared" si="4"/>
        <v>1.8644114127916878E-2</v>
      </c>
      <c r="N10" s="58">
        <f t="shared" si="4"/>
        <v>4.0161289578148462E-2</v>
      </c>
      <c r="O10" s="59">
        <f t="shared" si="4"/>
        <v>2.0157315238443198E-2</v>
      </c>
      <c r="P10" s="3">
        <f t="shared" si="4"/>
        <v>3.2691841332446549E-2</v>
      </c>
      <c r="Q10" s="3">
        <f t="shared" si="4"/>
        <v>1.6354159633625499E-2</v>
      </c>
      <c r="T10"/>
      <c r="U10"/>
      <c r="V10"/>
      <c r="W10"/>
      <c r="X10"/>
      <c r="Y10"/>
    </row>
    <row r="11" spans="1:25" ht="14.4" x14ac:dyDescent="0.3">
      <c r="A11" s="3"/>
      <c r="B11" s="1" t="s">
        <v>10</v>
      </c>
      <c r="C11" s="41">
        <v>1.8210675126963241E-2</v>
      </c>
      <c r="D11" s="73">
        <v>5.8477471939482042E-3</v>
      </c>
      <c r="E11" s="72">
        <v>1.5702527590917888E-2</v>
      </c>
      <c r="F11" s="73">
        <v>4.9980254405696889E-3</v>
      </c>
      <c r="G11" s="5">
        <v>1.5391489984904258E-2</v>
      </c>
      <c r="H11" s="5">
        <v>4.9166606963942667E-3</v>
      </c>
      <c r="J11" s="32"/>
      <c r="K11" s="1" t="s">
        <v>43</v>
      </c>
      <c r="L11" s="3">
        <f t="shared" ref="L11:Q11" si="5">C17</f>
        <v>9.9539590556930693E-2</v>
      </c>
      <c r="M11" s="3">
        <f t="shared" si="5"/>
        <v>6.4069052580613753E-2</v>
      </c>
      <c r="N11" s="58">
        <f t="shared" si="5"/>
        <v>5.9447699345808069E-2</v>
      </c>
      <c r="O11" s="59">
        <f t="shared" si="5"/>
        <v>6.2757393353412405E-2</v>
      </c>
      <c r="P11" s="3">
        <f t="shared" si="5"/>
        <v>5.3181005848557505E-2</v>
      </c>
      <c r="Q11" s="3">
        <f t="shared" si="5"/>
        <v>5.1575258634994264E-2</v>
      </c>
      <c r="T11"/>
      <c r="U11"/>
      <c r="V11"/>
      <c r="W11"/>
      <c r="X11"/>
      <c r="Y11"/>
    </row>
    <row r="12" spans="1:25" ht="14.4" x14ac:dyDescent="0.3">
      <c r="A12" s="3"/>
      <c r="B12" s="1" t="s">
        <v>11</v>
      </c>
      <c r="C12" s="41">
        <v>3.9294267457532714E-2</v>
      </c>
      <c r="D12" s="73">
        <v>2.0110727694374816E-2</v>
      </c>
      <c r="E12" s="72">
        <v>3.7704746186795868E-2</v>
      </c>
      <c r="F12" s="73">
        <v>1.911666566805903E-2</v>
      </c>
      <c r="G12" s="5">
        <v>2.885120010662285E-2</v>
      </c>
      <c r="H12" s="5">
        <v>1.4549672011675481E-2</v>
      </c>
      <c r="I12" s="30"/>
      <c r="J12" s="100" t="s">
        <v>33</v>
      </c>
      <c r="K12" s="89" t="s">
        <v>39</v>
      </c>
      <c r="L12" s="90">
        <f t="shared" ref="L12:Q12" si="6">SUM(C24:C26)</f>
        <v>0.14513280669680079</v>
      </c>
      <c r="M12" s="90">
        <f t="shared" si="6"/>
        <v>0.12224504353573667</v>
      </c>
      <c r="N12" s="91">
        <f t="shared" si="6"/>
        <v>9.0115909065208166E-2</v>
      </c>
      <c r="O12" s="92">
        <f t="shared" si="6"/>
        <v>7.5117355319812396E-2</v>
      </c>
      <c r="P12" s="90">
        <f t="shared" si="6"/>
        <v>9.7443522451946124E-2</v>
      </c>
      <c r="Q12" s="90">
        <f t="shared" si="6"/>
        <v>8.2350723478643861E-2</v>
      </c>
      <c r="T12"/>
      <c r="U12"/>
      <c r="V12"/>
      <c r="W12"/>
      <c r="X12"/>
      <c r="Y12"/>
    </row>
    <row r="13" spans="1:25" ht="14.4" x14ac:dyDescent="0.3">
      <c r="A13" s="3"/>
      <c r="B13" s="1" t="s">
        <v>12</v>
      </c>
      <c r="C13" s="41">
        <v>0</v>
      </c>
      <c r="D13" s="73">
        <v>0</v>
      </c>
      <c r="E13" s="72">
        <v>0</v>
      </c>
      <c r="F13" s="73">
        <v>0</v>
      </c>
      <c r="G13" s="5">
        <v>0</v>
      </c>
      <c r="H13" s="5">
        <v>0</v>
      </c>
      <c r="J13" s="32"/>
      <c r="K13" s="17" t="s">
        <v>40</v>
      </c>
      <c r="L13" s="18">
        <f t="shared" ref="L13:Q13" si="7">C27+C33</f>
        <v>2.3739053283077294E-2</v>
      </c>
      <c r="M13" s="18">
        <f t="shared" si="7"/>
        <v>2.979926038535094E-2</v>
      </c>
      <c r="N13" s="70">
        <f t="shared" si="7"/>
        <v>2.2739053283077335E-2</v>
      </c>
      <c r="O13" s="71">
        <f t="shared" si="7"/>
        <v>2.9799260385350895E-2</v>
      </c>
      <c r="P13" s="18">
        <f t="shared" si="7"/>
        <v>2.2563827782532762E-2</v>
      </c>
      <c r="Q13" s="18">
        <f t="shared" si="7"/>
        <v>2.9582521511366349E-2</v>
      </c>
      <c r="T13"/>
      <c r="U13"/>
      <c r="V13"/>
      <c r="W13"/>
      <c r="X13"/>
      <c r="Y13"/>
    </row>
    <row r="14" spans="1:25" ht="14.4" x14ac:dyDescent="0.3">
      <c r="B14" s="1" t="s">
        <v>13</v>
      </c>
      <c r="C14" s="41">
        <v>3.4417272507542925E-5</v>
      </c>
      <c r="D14" s="73">
        <v>1.460725075429303E-7</v>
      </c>
      <c r="E14" s="72">
        <v>3.240991250754293E-5</v>
      </c>
      <c r="F14" s="73">
        <v>1.4607250754293025E-7</v>
      </c>
      <c r="G14" s="5">
        <v>2.8934058690825977E-5</v>
      </c>
      <c r="H14" s="5">
        <v>1.4509869082597704E-7</v>
      </c>
      <c r="J14" s="32"/>
      <c r="K14" s="17" t="s">
        <v>41</v>
      </c>
      <c r="L14" s="18">
        <f t="shared" ref="L14:Q14" si="8">C28</f>
        <v>1.1131283473353499E-2</v>
      </c>
      <c r="M14" s="18">
        <f t="shared" si="8"/>
        <v>1.2385965714569673E-2</v>
      </c>
      <c r="N14" s="70">
        <f t="shared" si="8"/>
        <v>1.1131283473353525E-2</v>
      </c>
      <c r="O14" s="71">
        <f t="shared" si="8"/>
        <v>3.5388473470199071E-3</v>
      </c>
      <c r="P14" s="18">
        <f t="shared" si="8"/>
        <v>1.1057074916864501E-2</v>
      </c>
      <c r="Q14" s="18">
        <f t="shared" si="8"/>
        <v>3.5152550313731078E-3</v>
      </c>
      <c r="T14"/>
      <c r="U14"/>
      <c r="V14"/>
      <c r="W14"/>
      <c r="X14"/>
      <c r="Y14"/>
    </row>
    <row r="15" spans="1:25" ht="14.4" x14ac:dyDescent="0.3">
      <c r="B15" s="1" t="s">
        <v>1</v>
      </c>
      <c r="C15" s="41">
        <v>3.7006807386653719E-2</v>
      </c>
      <c r="D15" s="73">
        <v>1.8644114127916878E-2</v>
      </c>
      <c r="E15" s="72">
        <v>4.0161289578148462E-2</v>
      </c>
      <c r="F15" s="73">
        <v>2.0157315238443198E-2</v>
      </c>
      <c r="G15" s="5">
        <v>3.2691841332446549E-2</v>
      </c>
      <c r="H15" s="5">
        <v>1.6354159633625499E-2</v>
      </c>
      <c r="J15" s="32"/>
      <c r="K15" s="17" t="s">
        <v>42</v>
      </c>
      <c r="L15" s="18">
        <f t="shared" ref="L15:Q15" si="9">SUM(C29:C31)</f>
        <v>6.9467716140023505E-2</v>
      </c>
      <c r="M15" s="18">
        <f t="shared" si="9"/>
        <v>4.3757495335E-2</v>
      </c>
      <c r="N15" s="70">
        <f t="shared" si="9"/>
        <v>6.9467716140023505E-2</v>
      </c>
      <c r="O15" s="71">
        <f t="shared" si="9"/>
        <v>4.3757495335E-2</v>
      </c>
      <c r="P15" s="18">
        <f t="shared" si="9"/>
        <v>6.9214826605570753E-2</v>
      </c>
      <c r="Q15" s="18">
        <f t="shared" si="9"/>
        <v>4.3500867510121916E-2</v>
      </c>
      <c r="T15"/>
      <c r="U15"/>
      <c r="V15"/>
      <c r="W15"/>
      <c r="X15"/>
      <c r="Y15"/>
    </row>
    <row r="16" spans="1:25" ht="14.4" x14ac:dyDescent="0.3">
      <c r="B16" s="1" t="s">
        <v>14</v>
      </c>
      <c r="C16" s="41">
        <v>2.4388487266416448E-3</v>
      </c>
      <c r="D16" s="73">
        <v>2.3927755013346025E-3</v>
      </c>
      <c r="E16" s="72">
        <v>8.388054481402939E-3</v>
      </c>
      <c r="F16" s="73">
        <v>2.2645334665627711E-3</v>
      </c>
      <c r="G16" s="5">
        <v>7.8573146981612291E-3</v>
      </c>
      <c r="H16" s="5">
        <v>1.6436646366085603E-3</v>
      </c>
      <c r="J16" s="32"/>
      <c r="K16" s="17" t="s">
        <v>1</v>
      </c>
      <c r="L16" s="18">
        <f t="shared" ref="L16:Q16" si="10">C32</f>
        <v>1.3962219670208638E-2</v>
      </c>
      <c r="M16" s="18">
        <f t="shared" si="10"/>
        <v>8.2470772080362326E-3</v>
      </c>
      <c r="N16" s="70">
        <f t="shared" si="10"/>
        <v>1.3962219670208638E-2</v>
      </c>
      <c r="O16" s="71">
        <f t="shared" si="10"/>
        <v>8.2470772080362326E-3</v>
      </c>
      <c r="P16" s="18">
        <f t="shared" si="10"/>
        <v>1.3916930716763361E-2</v>
      </c>
      <c r="Q16" s="18">
        <f t="shared" si="10"/>
        <v>8.1990389590484228E-3</v>
      </c>
      <c r="T16"/>
      <c r="U16"/>
      <c r="V16"/>
      <c r="W16"/>
      <c r="X16"/>
      <c r="Y16"/>
    </row>
    <row r="17" spans="1:25" ht="14.4" x14ac:dyDescent="0.3">
      <c r="B17" s="1" t="s">
        <v>2</v>
      </c>
      <c r="C17" s="6">
        <v>9.9539590556930693E-2</v>
      </c>
      <c r="D17" s="75">
        <v>6.4069052580613753E-2</v>
      </c>
      <c r="E17" s="74">
        <v>5.9447699345808069E-2</v>
      </c>
      <c r="F17" s="75">
        <v>6.2757393353412405E-2</v>
      </c>
      <c r="G17" s="6">
        <v>5.3181005848557505E-2</v>
      </c>
      <c r="H17" s="6">
        <v>5.1575258634994264E-2</v>
      </c>
      <c r="J17" s="32"/>
      <c r="K17" s="17" t="s">
        <v>43</v>
      </c>
      <c r="L17" s="18">
        <f t="shared" ref="L17:Q17" si="11">C34</f>
        <v>5.9914727351740998E-2</v>
      </c>
      <c r="M17" s="18">
        <f t="shared" si="11"/>
        <v>4.0519834204362448E-2</v>
      </c>
      <c r="N17" s="70">
        <f t="shared" si="11"/>
        <v>4.6662424432468264E-2</v>
      </c>
      <c r="O17" s="71">
        <f t="shared" si="11"/>
        <v>4.1640160954183686E-2</v>
      </c>
      <c r="P17" s="18">
        <f t="shared" si="11"/>
        <v>5.1147116957880712E-2</v>
      </c>
      <c r="Q17" s="18">
        <f t="shared" si="11"/>
        <v>4.7605460747154077E-2</v>
      </c>
      <c r="T17"/>
      <c r="U17"/>
      <c r="V17"/>
      <c r="W17"/>
      <c r="X17"/>
      <c r="Y17"/>
    </row>
    <row r="18" spans="1:25" ht="14.4" x14ac:dyDescent="0.3">
      <c r="B18" s="1" t="s">
        <v>3</v>
      </c>
      <c r="C18" s="41">
        <v>0.44567883690810417</v>
      </c>
      <c r="D18" s="73">
        <v>0.35288014229726811</v>
      </c>
      <c r="E18" s="72">
        <v>0.37602521439065367</v>
      </c>
      <c r="F18" s="73">
        <v>0.28526087887914736</v>
      </c>
      <c r="G18" s="5">
        <v>0.34756341720276146</v>
      </c>
      <c r="H18" s="5">
        <v>0.25978901875037425</v>
      </c>
      <c r="J18" s="99" t="s">
        <v>34</v>
      </c>
      <c r="K18" s="88" t="s">
        <v>39</v>
      </c>
      <c r="L18" s="93">
        <f t="shared" ref="L18:Q18" si="12">SUM(C43:C47)</f>
        <v>0.30907134508295131</v>
      </c>
      <c r="M18" s="93">
        <f t="shared" si="12"/>
        <v>0.23737103760738454</v>
      </c>
      <c r="N18" s="94">
        <f t="shared" si="12"/>
        <v>0.26930012608286064</v>
      </c>
      <c r="O18" s="95">
        <f t="shared" si="12"/>
        <v>0.20757998932238461</v>
      </c>
      <c r="P18" s="93">
        <f t="shared" si="12"/>
        <v>0.18742842376022664</v>
      </c>
      <c r="Q18" s="93">
        <f t="shared" si="12"/>
        <v>0.14542679634497274</v>
      </c>
      <c r="T18"/>
      <c r="U18"/>
      <c r="V18"/>
      <c r="W18"/>
      <c r="X18"/>
      <c r="Y18"/>
    </row>
    <row r="19" spans="1:25" ht="14.4" x14ac:dyDescent="0.3">
      <c r="E19" s="13"/>
      <c r="F19" s="13"/>
      <c r="G19" s="13"/>
      <c r="H19" s="13"/>
      <c r="J19" s="32"/>
      <c r="K19" s="1" t="s">
        <v>40</v>
      </c>
      <c r="L19" s="3">
        <f t="shared" ref="L19:Q19" si="13">C48+C54</f>
        <v>4.7093028940810343E-3</v>
      </c>
      <c r="M19" s="3">
        <f t="shared" si="13"/>
        <v>6.1806856705132768E-3</v>
      </c>
      <c r="N19" s="58">
        <f t="shared" si="13"/>
        <v>4.7337951532821602E-3</v>
      </c>
      <c r="O19" s="59">
        <f t="shared" si="13"/>
        <v>6.2186718506510655E-3</v>
      </c>
      <c r="P19" s="3">
        <f t="shared" si="13"/>
        <v>4.702338084187613E-3</v>
      </c>
      <c r="Q19" s="3">
        <f t="shared" si="13"/>
        <v>6.1715109103929484E-3</v>
      </c>
      <c r="T19"/>
      <c r="U19"/>
      <c r="V19"/>
      <c r="W19"/>
      <c r="X19"/>
      <c r="Y19"/>
    </row>
    <row r="20" spans="1:25" ht="15" thickBot="1" x14ac:dyDescent="0.35">
      <c r="A20" s="14" t="s">
        <v>33</v>
      </c>
      <c r="B20" s="15"/>
      <c r="C20" s="101" t="s">
        <v>109</v>
      </c>
      <c r="D20" s="101"/>
      <c r="E20" s="101" t="s">
        <v>86</v>
      </c>
      <c r="F20" s="101"/>
      <c r="G20" s="101" t="s">
        <v>110</v>
      </c>
      <c r="H20" s="101"/>
      <c r="J20" s="32"/>
      <c r="K20" s="1" t="s">
        <v>41</v>
      </c>
      <c r="L20" s="3">
        <f t="shared" ref="L20:Q20" si="14">C49</f>
        <v>8.1426649248599839E-4</v>
      </c>
      <c r="M20" s="3">
        <f t="shared" si="14"/>
        <v>2.5887085021231165E-4</v>
      </c>
      <c r="N20" s="58">
        <f t="shared" si="14"/>
        <v>8.1973136827449518E-4</v>
      </c>
      <c r="O20" s="59">
        <f t="shared" si="14"/>
        <v>2.6060823846877013E-4</v>
      </c>
      <c r="P20" s="3">
        <f t="shared" si="14"/>
        <v>8.1271245777464419E-4</v>
      </c>
      <c r="Q20" s="3">
        <f t="shared" si="14"/>
        <v>2.5837679293413539E-4</v>
      </c>
      <c r="T20"/>
      <c r="U20"/>
      <c r="V20"/>
      <c r="W20"/>
      <c r="X20"/>
      <c r="Y20"/>
    </row>
    <row r="21" spans="1:25" ht="14.4" x14ac:dyDescent="0.3">
      <c r="C21" s="5"/>
      <c r="D21" s="7"/>
      <c r="E21" s="76"/>
      <c r="F21" s="77"/>
      <c r="G21" s="5"/>
      <c r="H21" s="7"/>
      <c r="J21" s="32"/>
      <c r="K21" s="1" t="s">
        <v>42</v>
      </c>
      <c r="L21" s="3">
        <f t="shared" ref="L21:Q21" si="15">SUM(C50:C52)</f>
        <v>1.7596994986666663E-2</v>
      </c>
      <c r="M21" s="3">
        <f t="shared" si="15"/>
        <v>7.3033408000000013E-3</v>
      </c>
      <c r="N21" s="58">
        <f t="shared" si="15"/>
        <v>1.7596994986666663E-2</v>
      </c>
      <c r="O21" s="59">
        <f t="shared" si="15"/>
        <v>7.3111248000000059E-3</v>
      </c>
      <c r="P21" s="3">
        <f t="shared" si="15"/>
        <v>1.7596994986666663E-2</v>
      </c>
      <c r="Q21" s="3">
        <f t="shared" si="15"/>
        <v>7.3033408000000048E-3</v>
      </c>
      <c r="T21"/>
      <c r="U21"/>
      <c r="V21"/>
      <c r="W21"/>
      <c r="X21"/>
      <c r="Y21"/>
    </row>
    <row r="22" spans="1:25" ht="14.4" x14ac:dyDescent="0.3">
      <c r="C22" s="78" t="s">
        <v>4</v>
      </c>
      <c r="D22" s="78" t="s">
        <v>5</v>
      </c>
      <c r="E22" s="79" t="s">
        <v>4</v>
      </c>
      <c r="F22" s="80" t="s">
        <v>5</v>
      </c>
      <c r="G22" s="78" t="s">
        <v>4</v>
      </c>
      <c r="H22" s="78" t="s">
        <v>5</v>
      </c>
      <c r="J22" s="32"/>
      <c r="K22" s="1" t="s">
        <v>1</v>
      </c>
      <c r="L22" s="3">
        <f t="shared" ref="L22:Q22" si="16">C53</f>
        <v>7.0715156479999996E-3</v>
      </c>
      <c r="M22" s="3">
        <f t="shared" si="16"/>
        <v>2.9213363200000014E-3</v>
      </c>
      <c r="N22" s="58">
        <f t="shared" si="16"/>
        <v>7.0715156479999996E-3</v>
      </c>
      <c r="O22" s="59">
        <f t="shared" si="16"/>
        <v>2.9244499200000063E-3</v>
      </c>
      <c r="P22" s="3">
        <f t="shared" si="16"/>
        <v>7.0715156479999996E-3</v>
      </c>
      <c r="Q22" s="3">
        <f t="shared" si="16"/>
        <v>2.9213363200000057E-3</v>
      </c>
      <c r="T22"/>
      <c r="U22"/>
      <c r="V22"/>
      <c r="W22"/>
      <c r="X22"/>
      <c r="Y22"/>
    </row>
    <row r="23" spans="1:25" ht="14.4" x14ac:dyDescent="0.3">
      <c r="B23" s="1" t="s">
        <v>15</v>
      </c>
      <c r="C23" s="8">
        <v>0</v>
      </c>
      <c r="D23" s="8">
        <v>0</v>
      </c>
      <c r="E23" s="54">
        <v>0</v>
      </c>
      <c r="F23" s="55">
        <v>0</v>
      </c>
      <c r="G23" s="8">
        <v>0</v>
      </c>
      <c r="H23" s="8">
        <v>0</v>
      </c>
      <c r="J23" s="32"/>
      <c r="K23" s="1" t="s">
        <v>43</v>
      </c>
      <c r="L23" s="3">
        <f t="shared" ref="L23:Q23" si="17">C55</f>
        <v>7.6580617505565801E-2</v>
      </c>
      <c r="M23" s="3">
        <f t="shared" si="17"/>
        <v>5.0046059768206086E-2</v>
      </c>
      <c r="N23" s="58">
        <f t="shared" si="17"/>
        <v>6.6588990349313926E-2</v>
      </c>
      <c r="O23" s="59">
        <f t="shared" si="17"/>
        <v>0.11908854433643712</v>
      </c>
      <c r="P23" s="3">
        <f t="shared" si="17"/>
        <v>4.7768484498334096E-2</v>
      </c>
      <c r="Q23" s="3">
        <f t="shared" si="17"/>
        <v>9.2450370785990249E-2</v>
      </c>
      <c r="T23"/>
      <c r="U23"/>
      <c r="V23"/>
      <c r="W23"/>
      <c r="X23"/>
      <c r="Y23"/>
    </row>
    <row r="24" spans="1:25" ht="14.4" x14ac:dyDescent="0.3">
      <c r="B24" s="1" t="s">
        <v>16</v>
      </c>
      <c r="C24" s="8">
        <v>6.4872255104888907E-2</v>
      </c>
      <c r="D24" s="8">
        <v>6.3872255104888892E-2</v>
      </c>
      <c r="E24" s="54">
        <v>3.3116753577751602E-2</v>
      </c>
      <c r="F24" s="55">
        <v>3.3116753577751602E-2</v>
      </c>
      <c r="G24" s="8">
        <v>3.9529457426345033E-2</v>
      </c>
      <c r="H24" s="8">
        <v>3.9529457426345033E-2</v>
      </c>
      <c r="J24" s="99" t="s">
        <v>35</v>
      </c>
      <c r="K24" s="88" t="s">
        <v>44</v>
      </c>
      <c r="L24" s="96">
        <f>L91</f>
        <v>0</v>
      </c>
      <c r="M24" s="96">
        <v>0.05</v>
      </c>
      <c r="N24" s="97">
        <f>N91</f>
        <v>0</v>
      </c>
      <c r="O24" s="98">
        <f>O91</f>
        <v>0.04</v>
      </c>
      <c r="P24" s="96">
        <f>P91</f>
        <v>0</v>
      </c>
      <c r="Q24" s="96">
        <f>Q91</f>
        <v>0.04</v>
      </c>
      <c r="T24"/>
      <c r="U24"/>
      <c r="V24"/>
      <c r="W24"/>
      <c r="X24"/>
      <c r="Y24"/>
    </row>
    <row r="25" spans="1:25" ht="14.4" x14ac:dyDescent="0.3">
      <c r="B25" s="1" t="s">
        <v>17</v>
      </c>
      <c r="C25" s="8">
        <v>2.9682665926992001E-2</v>
      </c>
      <c r="D25" s="8">
        <v>2.1830266037943177E-2</v>
      </c>
      <c r="E25" s="54">
        <v>6.4212698225366875E-3</v>
      </c>
      <c r="F25" s="55">
        <v>5.4580793491561851E-3</v>
      </c>
      <c r="G25" s="8">
        <v>7.6733652651140337E-3</v>
      </c>
      <c r="H25" s="8">
        <v>6.5223604753469272E-3</v>
      </c>
      <c r="K25" s="1" t="s">
        <v>3</v>
      </c>
      <c r="L25" s="3">
        <f t="shared" ref="L25:M25" si="18">SUM(L6:L24)</f>
        <v>1.1858706861330592</v>
      </c>
      <c r="M25" s="3">
        <f t="shared" si="18"/>
        <v>0.9639161496966403</v>
      </c>
      <c r="N25" s="58">
        <f t="shared" ref="N25:O25" si="19">SUM(N6:N24)</f>
        <v>0.99621497404339099</v>
      </c>
      <c r="O25" s="59">
        <f t="shared" si="19"/>
        <v>0.87074446389649207</v>
      </c>
      <c r="P25" s="3">
        <f t="shared" ref="P25:Q25" si="20">SUM(P6:P24)</f>
        <v>0.87828718606950917</v>
      </c>
      <c r="Q25" s="3">
        <f t="shared" si="20"/>
        <v>0.7690746179423722</v>
      </c>
      <c r="T25"/>
      <c r="U25"/>
      <c r="V25"/>
      <c r="W25"/>
      <c r="X25"/>
      <c r="Y25"/>
    </row>
    <row r="26" spans="1:25" ht="14.4" x14ac:dyDescent="0.3">
      <c r="B26" s="1" t="s">
        <v>18</v>
      </c>
      <c r="C26" s="8">
        <v>5.0577885664919886E-2</v>
      </c>
      <c r="D26" s="8">
        <v>3.6542522392904606E-2</v>
      </c>
      <c r="E26" s="54">
        <v>5.0577885664919886E-2</v>
      </c>
      <c r="F26" s="55">
        <v>3.6542522392904606E-2</v>
      </c>
      <c r="G26" s="8">
        <v>5.0240699760487055E-2</v>
      </c>
      <c r="H26" s="8">
        <v>3.6298905576951909E-2</v>
      </c>
      <c r="L26" s="3"/>
      <c r="M26" s="3"/>
      <c r="N26" s="3"/>
      <c r="O26" s="3"/>
      <c r="P26" s="3"/>
      <c r="Q26" s="3"/>
      <c r="T26"/>
      <c r="U26"/>
      <c r="V26"/>
      <c r="W26"/>
      <c r="X26"/>
      <c r="Y26"/>
    </row>
    <row r="27" spans="1:25" ht="15" thickBot="1" x14ac:dyDescent="0.35">
      <c r="B27" s="1" t="s">
        <v>19</v>
      </c>
      <c r="C27" s="8">
        <v>1.9263979383476099E-2</v>
      </c>
      <c r="D27" s="8">
        <v>2.4059182124167845E-2</v>
      </c>
      <c r="E27" s="54">
        <v>1.8263979383476139E-2</v>
      </c>
      <c r="F27" s="55">
        <v>2.4059182124167799E-2</v>
      </c>
      <c r="G27" s="8">
        <v>1.8142219520919635E-2</v>
      </c>
      <c r="H27" s="8">
        <v>2.3898787576673394E-2</v>
      </c>
      <c r="L27" s="101" t="s">
        <v>109</v>
      </c>
      <c r="M27" s="101"/>
      <c r="N27" s="101" t="s">
        <v>86</v>
      </c>
      <c r="O27" s="101"/>
      <c r="P27" s="101" t="s">
        <v>110</v>
      </c>
      <c r="Q27" s="101"/>
      <c r="T27"/>
      <c r="U27"/>
      <c r="V27"/>
      <c r="W27"/>
      <c r="X27"/>
      <c r="Y27"/>
    </row>
    <row r="28" spans="1:25" ht="14.4" x14ac:dyDescent="0.3">
      <c r="B28" s="1" t="s">
        <v>20</v>
      </c>
      <c r="C28" s="8">
        <v>1.1131283473353499E-2</v>
      </c>
      <c r="D28" s="8">
        <v>1.2385965714569673E-2</v>
      </c>
      <c r="E28" s="54">
        <v>1.1131283473353525E-2</v>
      </c>
      <c r="F28" s="55">
        <v>3.5388473470199071E-3</v>
      </c>
      <c r="G28" s="8">
        <v>1.1057074916864501E-2</v>
      </c>
      <c r="H28" s="8">
        <v>3.5152550313731078E-3</v>
      </c>
      <c r="N28" s="50"/>
      <c r="O28" s="51"/>
      <c r="T28"/>
      <c r="U28"/>
      <c r="V28"/>
      <c r="W28"/>
      <c r="X28"/>
      <c r="Y28"/>
    </row>
    <row r="29" spans="1:25" ht="14.4" x14ac:dyDescent="0.3">
      <c r="B29" s="1" t="s">
        <v>21</v>
      </c>
      <c r="C29" s="8">
        <v>6.8090107970023503E-2</v>
      </c>
      <c r="D29" s="8">
        <v>4.3757495335E-2</v>
      </c>
      <c r="E29" s="54">
        <v>6.8090107970023503E-2</v>
      </c>
      <c r="F29" s="55">
        <v>4.3757495335E-2</v>
      </c>
      <c r="G29" s="8">
        <v>6.7877218435570749E-2</v>
      </c>
      <c r="H29" s="8">
        <v>4.3500867510121916E-2</v>
      </c>
      <c r="L29" s="78" t="s">
        <v>4</v>
      </c>
      <c r="M29" s="78" t="s">
        <v>5</v>
      </c>
      <c r="N29" s="79" t="s">
        <v>4</v>
      </c>
      <c r="O29" s="80" t="s">
        <v>5</v>
      </c>
      <c r="P29" s="78" t="s">
        <v>4</v>
      </c>
      <c r="Q29" s="78" t="s">
        <v>5</v>
      </c>
      <c r="T29"/>
      <c r="U29"/>
      <c r="V29"/>
      <c r="W29"/>
      <c r="X29"/>
      <c r="Y29"/>
    </row>
    <row r="30" spans="1:25" ht="14.4" x14ac:dyDescent="0.3">
      <c r="B30" s="1" t="s">
        <v>22</v>
      </c>
      <c r="C30" s="8">
        <v>0</v>
      </c>
      <c r="D30" s="8">
        <v>0</v>
      </c>
      <c r="E30" s="54">
        <v>0</v>
      </c>
      <c r="F30" s="55">
        <v>0</v>
      </c>
      <c r="G30" s="8">
        <v>0</v>
      </c>
      <c r="H30" s="8">
        <v>0</v>
      </c>
      <c r="K30" s="1" t="s">
        <v>0</v>
      </c>
      <c r="L30" s="3">
        <f t="shared" ref="L30:Q32" si="21">C6</f>
        <v>0.17731087009948657</v>
      </c>
      <c r="M30" s="3">
        <f t="shared" si="21"/>
        <v>0.1779229294798905</v>
      </c>
      <c r="N30" s="58">
        <f t="shared" si="21"/>
        <v>0.11157112847996102</v>
      </c>
      <c r="O30" s="59">
        <f t="shared" si="21"/>
        <v>0.11157112847996102</v>
      </c>
      <c r="P30" s="3">
        <f t="shared" si="21"/>
        <v>0.11070611017986531</v>
      </c>
      <c r="Q30" s="3">
        <f t="shared" si="21"/>
        <v>0.11109083321897636</v>
      </c>
      <c r="T30"/>
      <c r="U30"/>
      <c r="V30"/>
      <c r="W30"/>
      <c r="X30"/>
      <c r="Y30"/>
    </row>
    <row r="31" spans="1:25" ht="14.4" x14ac:dyDescent="0.3">
      <c r="B31" s="1" t="s">
        <v>23</v>
      </c>
      <c r="C31" s="8">
        <v>1.37760817E-3</v>
      </c>
      <c r="D31" s="8">
        <v>5.164130500000001E-20</v>
      </c>
      <c r="E31" s="54">
        <v>1.3776081700000002E-3</v>
      </c>
      <c r="F31" s="55">
        <v>5.164130500000001E-20</v>
      </c>
      <c r="G31" s="8">
        <v>1.3376081700000001E-3</v>
      </c>
      <c r="H31" s="8">
        <v>5.1241565625000007E-20</v>
      </c>
      <c r="K31" s="1" t="s">
        <v>6</v>
      </c>
      <c r="L31" s="3">
        <f t="shared" si="21"/>
        <v>2.6728191858189861E-2</v>
      </c>
      <c r="M31" s="3">
        <f t="shared" si="21"/>
        <v>2.271896307946138E-2</v>
      </c>
      <c r="N31" s="58">
        <f t="shared" si="21"/>
        <v>2.678612977095738E-2</v>
      </c>
      <c r="O31" s="59">
        <f t="shared" si="21"/>
        <v>2.2768210305313771E-2</v>
      </c>
      <c r="P31" s="3">
        <f t="shared" si="21"/>
        <v>2.6550003912468648E-2</v>
      </c>
      <c r="Q31" s="3">
        <f t="shared" si="21"/>
        <v>2.256750332559835E-2</v>
      </c>
      <c r="T31"/>
      <c r="U31"/>
      <c r="V31"/>
      <c r="W31"/>
      <c r="X31"/>
      <c r="Y31"/>
    </row>
    <row r="32" spans="1:25" ht="14.4" x14ac:dyDescent="0.3">
      <c r="B32" s="1" t="s">
        <v>24</v>
      </c>
      <c r="C32" s="8">
        <v>1.3962219670208638E-2</v>
      </c>
      <c r="D32" s="8">
        <v>8.2470772080362326E-3</v>
      </c>
      <c r="E32" s="54">
        <v>1.3962219670208638E-2</v>
      </c>
      <c r="F32" s="55">
        <v>8.2470772080362326E-3</v>
      </c>
      <c r="G32" s="8">
        <v>1.3916930716763361E-2</v>
      </c>
      <c r="H32" s="8">
        <v>8.1990389590484228E-3</v>
      </c>
      <c r="K32" s="1" t="s">
        <v>7</v>
      </c>
      <c r="L32" s="3">
        <f t="shared" si="21"/>
        <v>3.0633451272609684E-2</v>
      </c>
      <c r="M32" s="3">
        <f t="shared" si="21"/>
        <v>2.6038433581718232E-2</v>
      </c>
      <c r="N32" s="58">
        <f t="shared" si="21"/>
        <v>3.0633451272609701E-2</v>
      </c>
      <c r="O32" s="59">
        <f t="shared" si="21"/>
        <v>2.6038433581718243E-2</v>
      </c>
      <c r="P32" s="3">
        <f t="shared" si="21"/>
        <v>3.0429228264125679E-2</v>
      </c>
      <c r="Q32" s="3">
        <f t="shared" si="21"/>
        <v>2.5864844024506829E-2</v>
      </c>
      <c r="T32"/>
      <c r="U32"/>
      <c r="V32"/>
      <c r="W32"/>
      <c r="X32"/>
      <c r="Y32"/>
    </row>
    <row r="33" spans="1:25" ht="14.4" x14ac:dyDescent="0.3">
      <c r="B33" s="1" t="s">
        <v>25</v>
      </c>
      <c r="C33" s="8">
        <v>4.4750738996011934E-3</v>
      </c>
      <c r="D33" s="8">
        <v>5.7400782611830951E-3</v>
      </c>
      <c r="E33" s="54">
        <v>4.4750738996011934E-3</v>
      </c>
      <c r="F33" s="55">
        <v>5.7400782611830951E-3</v>
      </c>
      <c r="G33" s="8">
        <v>4.4216082616131275E-3</v>
      </c>
      <c r="H33" s="8">
        <v>5.683733934692954E-3</v>
      </c>
      <c r="K33" s="1" t="s">
        <v>16</v>
      </c>
      <c r="L33" s="3">
        <f t="shared" ref="L33:Q34" si="22">C24</f>
        <v>6.4872255104888907E-2</v>
      </c>
      <c r="M33" s="3">
        <f t="shared" si="22"/>
        <v>6.3872255104888892E-2</v>
      </c>
      <c r="N33" s="58">
        <f t="shared" si="22"/>
        <v>3.3116753577751602E-2</v>
      </c>
      <c r="O33" s="59">
        <f t="shared" si="22"/>
        <v>3.3116753577751602E-2</v>
      </c>
      <c r="P33" s="3">
        <f t="shared" si="22"/>
        <v>3.9529457426345033E-2</v>
      </c>
      <c r="Q33" s="3">
        <f t="shared" si="22"/>
        <v>3.9529457426345033E-2</v>
      </c>
      <c r="T33"/>
      <c r="U33"/>
      <c r="V33"/>
      <c r="W33"/>
      <c r="X33"/>
      <c r="Y33"/>
    </row>
    <row r="34" spans="1:25" ht="14.4" x14ac:dyDescent="0.3">
      <c r="B34" s="1" t="s">
        <v>2</v>
      </c>
      <c r="C34" s="6">
        <v>5.9914727351740998E-2</v>
      </c>
      <c r="D34" s="6">
        <v>4.0519834204362448E-2</v>
      </c>
      <c r="E34" s="74">
        <v>4.6662424432468264E-2</v>
      </c>
      <c r="F34" s="75">
        <v>4.1640160954183686E-2</v>
      </c>
      <c r="G34" s="6">
        <v>5.1147116957880712E-2</v>
      </c>
      <c r="H34" s="6">
        <v>4.7605460747154077E-2</v>
      </c>
      <c r="K34" s="1" t="s">
        <v>17</v>
      </c>
      <c r="L34" s="3">
        <f t="shared" si="22"/>
        <v>2.9682665926992001E-2</v>
      </c>
      <c r="M34" s="3">
        <f t="shared" si="22"/>
        <v>2.1830266037943177E-2</v>
      </c>
      <c r="N34" s="58">
        <f t="shared" si="22"/>
        <v>6.4212698225366875E-3</v>
      </c>
      <c r="O34" s="59">
        <f t="shared" si="22"/>
        <v>5.4580793491561851E-3</v>
      </c>
      <c r="P34" s="3">
        <f t="shared" si="22"/>
        <v>7.6733652651140337E-3</v>
      </c>
      <c r="Q34" s="3">
        <f t="shared" si="22"/>
        <v>6.5223604753469272E-3</v>
      </c>
      <c r="T34"/>
      <c r="U34"/>
      <c r="V34"/>
      <c r="W34"/>
      <c r="X34"/>
      <c r="Y34"/>
    </row>
    <row r="35" spans="1:25" ht="14.4" x14ac:dyDescent="0.3">
      <c r="B35" s="1" t="s">
        <v>3</v>
      </c>
      <c r="C35" s="3">
        <f>SUM(C24:C34)</f>
        <v>0.32334780661520468</v>
      </c>
      <c r="D35" s="3">
        <f>SUM(D24:D34)</f>
        <v>0.25695467638305602</v>
      </c>
      <c r="E35" s="58">
        <v>0.25407860606433941</v>
      </c>
      <c r="F35" s="59">
        <v>0.20210019654940309</v>
      </c>
      <c r="G35" s="3">
        <v>0.26534329943155821</v>
      </c>
      <c r="H35" s="3">
        <v>0.21475386723770773</v>
      </c>
      <c r="I35" s="9"/>
      <c r="J35" s="9"/>
      <c r="K35" s="1" t="s">
        <v>101</v>
      </c>
      <c r="L35" s="3">
        <f t="shared" ref="L35:Q37" si="23">C43</f>
        <v>0.10938566624730681</v>
      </c>
      <c r="M35" s="3">
        <f t="shared" si="23"/>
        <v>8.2039249685480098E-2</v>
      </c>
      <c r="N35" s="58">
        <f t="shared" si="23"/>
        <v>6.8274274906037283E-2</v>
      </c>
      <c r="O35" s="59">
        <f t="shared" si="23"/>
        <v>5.1205706179527841E-2</v>
      </c>
      <c r="P35" s="3">
        <f t="shared" si="23"/>
        <v>6.6984909254979547E-2</v>
      </c>
      <c r="Q35" s="3">
        <f t="shared" si="23"/>
        <v>5.023868194123466E-2</v>
      </c>
      <c r="T35"/>
      <c r="U35"/>
      <c r="V35"/>
      <c r="W35"/>
      <c r="X35"/>
      <c r="Y35"/>
    </row>
    <row r="36" spans="1:25" ht="14.4" x14ac:dyDescent="0.3">
      <c r="E36" s="52"/>
      <c r="F36" s="53"/>
      <c r="K36" s="1" t="s">
        <v>28</v>
      </c>
      <c r="L36" s="3">
        <f t="shared" si="23"/>
        <v>5.6927981930623761E-2</v>
      </c>
      <c r="M36" s="3">
        <f t="shared" si="23"/>
        <v>5.6927981930623761E-2</v>
      </c>
      <c r="N36" s="58">
        <f t="shared" si="23"/>
        <v>5.7310048923446752E-2</v>
      </c>
      <c r="O36" s="59">
        <f t="shared" si="23"/>
        <v>5.7310048923446752E-2</v>
      </c>
      <c r="P36" s="3">
        <f t="shared" si="23"/>
        <v>4.8715876957746505E-2</v>
      </c>
      <c r="Q36" s="3">
        <f t="shared" si="23"/>
        <v>4.8715876957746505E-2</v>
      </c>
      <c r="T36"/>
      <c r="U36"/>
      <c r="V36"/>
      <c r="W36"/>
      <c r="X36"/>
      <c r="Y36"/>
    </row>
    <row r="37" spans="1:25" ht="14.4" x14ac:dyDescent="0.3">
      <c r="B37" s="1" t="s">
        <v>46</v>
      </c>
      <c r="C37" s="9">
        <f t="shared" ref="C37:D37" si="24">(C27+C33)/C35</f>
        <v>7.3416466100627076E-2</v>
      </c>
      <c r="D37" s="9">
        <f t="shared" si="24"/>
        <v>0.11597088173218376</v>
      </c>
      <c r="E37" s="62">
        <f>(E27+E33)/E35</f>
        <v>8.9496135213049804E-2</v>
      </c>
      <c r="F37" s="63">
        <f t="shared" ref="F37" si="25">(F27+F33)/F35</f>
        <v>0.14744795351085427</v>
      </c>
      <c r="G37" s="9">
        <v>8.5036357921496344E-2</v>
      </c>
      <c r="H37" s="9">
        <v>0.13775082093689103</v>
      </c>
      <c r="K37" s="1" t="s">
        <v>29</v>
      </c>
      <c r="L37" s="3">
        <f t="shared" si="23"/>
        <v>5.5675287951710291E-2</v>
      </c>
      <c r="M37" s="3">
        <f t="shared" si="23"/>
        <v>5.5675287951710291E-2</v>
      </c>
      <c r="N37" s="58">
        <f t="shared" si="23"/>
        <v>5.6048947602392915E-2</v>
      </c>
      <c r="O37" s="59">
        <f t="shared" si="23"/>
        <v>5.6048947602392915E-2</v>
      </c>
      <c r="P37" s="3">
        <f t="shared" si="23"/>
        <v>2.7837643975855145E-2</v>
      </c>
      <c r="Q37" s="3">
        <f t="shared" si="23"/>
        <v>2.7837643975855145E-2</v>
      </c>
      <c r="T37"/>
      <c r="U37"/>
      <c r="V37"/>
      <c r="W37"/>
      <c r="X37"/>
      <c r="Y37"/>
    </row>
    <row r="38" spans="1:25" ht="14.4" x14ac:dyDescent="0.3">
      <c r="E38" s="9"/>
      <c r="F38" s="9"/>
      <c r="G38" s="9"/>
      <c r="H38" s="9"/>
      <c r="K38" s="1" t="s">
        <v>102</v>
      </c>
      <c r="L38" s="3">
        <v>6.2493725957415321E-2</v>
      </c>
      <c r="M38" s="3">
        <v>5.2078104964512803E-2</v>
      </c>
      <c r="N38" s="58">
        <v>6.2493725957415321E-2</v>
      </c>
      <c r="O38" s="59">
        <v>5.2078104964512803E-2</v>
      </c>
      <c r="P38" s="3">
        <v>6.2493725957415321E-2</v>
      </c>
      <c r="Q38" s="3">
        <v>5.2078104964512803E-2</v>
      </c>
      <c r="T38"/>
      <c r="U38"/>
      <c r="V38"/>
      <c r="W38"/>
      <c r="X38"/>
      <c r="Y38"/>
    </row>
    <row r="39" spans="1:25" ht="15" thickBot="1" x14ac:dyDescent="0.35">
      <c r="A39" s="14" t="s">
        <v>34</v>
      </c>
      <c r="B39" s="15"/>
      <c r="C39" s="101" t="s">
        <v>109</v>
      </c>
      <c r="D39" s="101"/>
      <c r="E39" s="101" t="s">
        <v>86</v>
      </c>
      <c r="F39" s="101"/>
      <c r="G39" s="101" t="s">
        <v>110</v>
      </c>
      <c r="H39" s="101"/>
      <c r="K39" s="1" t="s">
        <v>103</v>
      </c>
      <c r="L39" s="3">
        <f t="shared" ref="L39:Q39" si="26">C46</f>
        <v>1.7632387972946032E-2</v>
      </c>
      <c r="M39" s="3">
        <f t="shared" si="26"/>
        <v>1.7632387972946032E-2</v>
      </c>
      <c r="N39" s="58">
        <f t="shared" si="26"/>
        <v>1.7750726147261107E-2</v>
      </c>
      <c r="O39" s="59">
        <f t="shared" si="26"/>
        <v>1.7750726147261107E-2</v>
      </c>
      <c r="P39" s="3">
        <f t="shared" si="26"/>
        <v>1.7598736406527812E-2</v>
      </c>
      <c r="Q39" s="3">
        <f t="shared" si="26"/>
        <v>1.7598736406527812E-2</v>
      </c>
      <c r="T39"/>
      <c r="U39"/>
      <c r="V39"/>
      <c r="W39"/>
      <c r="X39"/>
      <c r="Y39"/>
    </row>
    <row r="40" spans="1:25" ht="14.4" x14ac:dyDescent="0.3">
      <c r="E40" s="50"/>
      <c r="F40" s="51"/>
      <c r="K40" s="1" t="s">
        <v>60</v>
      </c>
      <c r="L40" s="12">
        <f t="shared" ref="L40:Q40" si="27">SUM(L6,L12,L18)-SUM(L30:L39)</f>
        <v>6.2187697762254968E-2</v>
      </c>
      <c r="M40" s="12">
        <f t="shared" si="27"/>
        <v>1.3516037008244108E-2</v>
      </c>
      <c r="N40" s="60">
        <f t="shared" si="27"/>
        <v>6.4016357930577972E-2</v>
      </c>
      <c r="O40" s="61">
        <f t="shared" si="27"/>
        <v>1.4842637159595884E-2</v>
      </c>
      <c r="P40" s="12">
        <f t="shared" si="27"/>
        <v>1.7578456739938075E-2</v>
      </c>
      <c r="Q40" s="12">
        <f t="shared" si="27"/>
        <v>-1.1734150417965938E-2</v>
      </c>
      <c r="T40"/>
      <c r="U40"/>
      <c r="V40"/>
      <c r="W40"/>
      <c r="X40"/>
      <c r="Y40"/>
    </row>
    <row r="41" spans="1:25" ht="14.4" x14ac:dyDescent="0.3">
      <c r="C41" s="81" t="s">
        <v>4</v>
      </c>
      <c r="D41" s="81" t="s">
        <v>5</v>
      </c>
      <c r="E41" s="82" t="s">
        <v>4</v>
      </c>
      <c r="F41" s="83" t="s">
        <v>5</v>
      </c>
      <c r="G41" s="81" t="s">
        <v>4</v>
      </c>
      <c r="H41" s="81" t="s">
        <v>5</v>
      </c>
      <c r="K41" s="2" t="s">
        <v>39</v>
      </c>
      <c r="L41" s="40">
        <f t="shared" ref="L41:Q41" si="28">SUM(L30:L40)</f>
        <v>0.69353018208442418</v>
      </c>
      <c r="M41" s="40">
        <f t="shared" si="28"/>
        <v>0.59025189679741941</v>
      </c>
      <c r="N41" s="84">
        <f t="shared" si="28"/>
        <v>0.53442281439094774</v>
      </c>
      <c r="O41" s="69">
        <f t="shared" si="28"/>
        <v>0.44818877627063813</v>
      </c>
      <c r="P41" s="40">
        <f t="shared" si="28"/>
        <v>0.45609751434038104</v>
      </c>
      <c r="Q41" s="40">
        <f t="shared" si="28"/>
        <v>0.39030989229868451</v>
      </c>
      <c r="T41"/>
      <c r="U41"/>
      <c r="V41"/>
      <c r="W41"/>
      <c r="X41"/>
      <c r="Y41"/>
    </row>
    <row r="42" spans="1:25" ht="14.4" x14ac:dyDescent="0.3">
      <c r="B42" s="1" t="s">
        <v>26</v>
      </c>
      <c r="C42" s="85"/>
      <c r="D42" s="85"/>
      <c r="E42" s="54">
        <v>0</v>
      </c>
      <c r="F42" s="55">
        <v>0</v>
      </c>
      <c r="G42" s="8">
        <v>0</v>
      </c>
      <c r="H42" s="8">
        <v>0</v>
      </c>
      <c r="K42" s="1" t="s">
        <v>40</v>
      </c>
      <c r="L42" s="3">
        <f t="shared" ref="L42:Q45" si="29">L7+L13+L19</f>
        <v>4.1715404980002604E-2</v>
      </c>
      <c r="M42" s="3">
        <f t="shared" si="29"/>
        <v>4.9552485029473028E-2</v>
      </c>
      <c r="N42" s="58">
        <f t="shared" si="29"/>
        <v>7.5442610969956511E-2</v>
      </c>
      <c r="O42" s="59">
        <f t="shared" si="29"/>
        <v>4.8757833713716316E-2</v>
      </c>
      <c r="P42" s="3">
        <f t="shared" si="29"/>
        <v>7.3459543610051581E-2</v>
      </c>
      <c r="Q42" s="3">
        <f t="shared" si="29"/>
        <v>4.5614782621685342E-2</v>
      </c>
      <c r="T42"/>
      <c r="U42"/>
      <c r="V42"/>
      <c r="W42"/>
      <c r="X42"/>
      <c r="Y42"/>
    </row>
    <row r="43" spans="1:25" ht="14.4" x14ac:dyDescent="0.3">
      <c r="B43" s="1" t="s">
        <v>27</v>
      </c>
      <c r="C43" s="85">
        <v>0.10938566624730681</v>
      </c>
      <c r="D43" s="85">
        <v>8.2039249685480098E-2</v>
      </c>
      <c r="E43" s="54">
        <v>6.8274274906037283E-2</v>
      </c>
      <c r="F43" s="55">
        <v>5.1205706179527841E-2</v>
      </c>
      <c r="G43" s="8">
        <v>6.6984909254979547E-2</v>
      </c>
      <c r="H43" s="8">
        <v>5.023868194123466E-2</v>
      </c>
      <c r="K43" s="1" t="s">
        <v>41</v>
      </c>
      <c r="L43" s="3">
        <f t="shared" si="29"/>
        <v>3.0156225092802739E-2</v>
      </c>
      <c r="M43" s="3">
        <f t="shared" si="29"/>
        <v>1.849258375873019E-2</v>
      </c>
      <c r="N43" s="58">
        <f t="shared" si="29"/>
        <v>2.7653542432545909E-2</v>
      </c>
      <c r="O43" s="59">
        <f t="shared" si="29"/>
        <v>8.7974810260583649E-3</v>
      </c>
      <c r="P43" s="3">
        <f t="shared" si="29"/>
        <v>2.7261277359543402E-2</v>
      </c>
      <c r="Q43" s="3">
        <f t="shared" si="29"/>
        <v>8.6902925207015102E-3</v>
      </c>
      <c r="T43"/>
      <c r="U43"/>
      <c r="V43"/>
      <c r="W43"/>
      <c r="X43"/>
      <c r="Y43"/>
    </row>
    <row r="44" spans="1:25" ht="14.4" x14ac:dyDescent="0.3">
      <c r="B44" s="1" t="s">
        <v>28</v>
      </c>
      <c r="C44" s="85">
        <v>5.6927981930623761E-2</v>
      </c>
      <c r="D44" s="85">
        <v>5.6927981930623761E-2</v>
      </c>
      <c r="E44" s="54">
        <v>5.7310048923446752E-2</v>
      </c>
      <c r="F44" s="55">
        <v>5.7310048923446752E-2</v>
      </c>
      <c r="G44" s="8">
        <v>4.8715876957746505E-2</v>
      </c>
      <c r="H44" s="8">
        <v>4.8715876957746505E-2</v>
      </c>
      <c r="K44" s="1" t="s">
        <v>42</v>
      </c>
      <c r="L44" s="3">
        <f t="shared" si="29"/>
        <v>0.12639339585673043</v>
      </c>
      <c r="M44" s="3">
        <f t="shared" si="29"/>
        <v>7.117170990188236E-2</v>
      </c>
      <c r="N44" s="58">
        <f t="shared" si="29"/>
        <v>0.1248018672259936</v>
      </c>
      <c r="O44" s="59">
        <f t="shared" si="29"/>
        <v>7.0185431875566584E-2</v>
      </c>
      <c r="P44" s="3">
        <f t="shared" si="29"/>
        <v>0.11569195575755109</v>
      </c>
      <c r="Q44" s="3">
        <f t="shared" si="29"/>
        <v>6.5354025420488224E-2</v>
      </c>
      <c r="T44"/>
      <c r="U44"/>
      <c r="V44"/>
      <c r="W44"/>
      <c r="X44"/>
      <c r="Y44"/>
    </row>
    <row r="45" spans="1:25" ht="14.4" x14ac:dyDescent="0.3">
      <c r="B45" s="1" t="s">
        <v>29</v>
      </c>
      <c r="C45" s="85">
        <v>5.5675287951710291E-2</v>
      </c>
      <c r="D45" s="85">
        <v>5.5675287951710291E-2</v>
      </c>
      <c r="E45" s="54">
        <v>5.6048947602392915E-2</v>
      </c>
      <c r="F45" s="55">
        <v>5.6048947602392915E-2</v>
      </c>
      <c r="G45" s="8">
        <v>2.7837643975855145E-2</v>
      </c>
      <c r="H45" s="8">
        <v>2.7837643975855145E-2</v>
      </c>
      <c r="K45" s="1" t="s">
        <v>1</v>
      </c>
      <c r="L45" s="12">
        <f t="shared" si="29"/>
        <v>5.8040542704862357E-2</v>
      </c>
      <c r="M45" s="12">
        <f t="shared" si="29"/>
        <v>2.9812527655953113E-2</v>
      </c>
      <c r="N45" s="60">
        <f t="shared" si="29"/>
        <v>6.11950248963571E-2</v>
      </c>
      <c r="O45" s="61">
        <f t="shared" si="29"/>
        <v>3.132884236647944E-2</v>
      </c>
      <c r="P45" s="12">
        <f t="shared" si="29"/>
        <v>5.3680287697209908E-2</v>
      </c>
      <c r="Q45" s="12">
        <f t="shared" si="29"/>
        <v>2.7474534912673928E-2</v>
      </c>
      <c r="T45"/>
      <c r="U45"/>
      <c r="V45"/>
      <c r="W45"/>
      <c r="X45"/>
      <c r="Y45"/>
    </row>
    <row r="46" spans="1:25" ht="14.4" x14ac:dyDescent="0.3">
      <c r="B46" s="1" t="s">
        <v>30</v>
      </c>
      <c r="C46" s="85">
        <v>1.7632387972946032E-2</v>
      </c>
      <c r="D46" s="85">
        <v>1.7632387972946032E-2</v>
      </c>
      <c r="E46" s="54">
        <v>1.7750726147261107E-2</v>
      </c>
      <c r="F46" s="55">
        <v>1.7750726147261107E-2</v>
      </c>
      <c r="G46" s="8">
        <v>1.7598736406527812E-2</v>
      </c>
      <c r="H46" s="8">
        <v>1.7598736406527812E-2</v>
      </c>
      <c r="K46" s="2" t="s">
        <v>104</v>
      </c>
      <c r="L46" s="40">
        <f t="shared" ref="L46:Q46" si="30">SUM(L41:L45)</f>
        <v>0.94983575071882231</v>
      </c>
      <c r="M46" s="40">
        <f t="shared" si="30"/>
        <v>0.75928120314345815</v>
      </c>
      <c r="N46" s="84">
        <f t="shared" si="30"/>
        <v>0.8235158599158009</v>
      </c>
      <c r="O46" s="69">
        <f t="shared" si="30"/>
        <v>0.60725836525245891</v>
      </c>
      <c r="P46" s="40">
        <f t="shared" si="30"/>
        <v>0.72619057876473703</v>
      </c>
      <c r="Q46" s="40">
        <f t="shared" si="30"/>
        <v>0.53744352777423354</v>
      </c>
      <c r="T46"/>
      <c r="U46"/>
      <c r="V46"/>
      <c r="W46"/>
      <c r="X46"/>
      <c r="Y46"/>
    </row>
    <row r="47" spans="1:25" ht="14.4" x14ac:dyDescent="0.3">
      <c r="B47" s="1" t="s">
        <v>31</v>
      </c>
      <c r="C47" s="85">
        <v>6.945002098036443E-2</v>
      </c>
      <c r="D47" s="85">
        <v>2.5096130066624367E-2</v>
      </c>
      <c r="E47" s="54">
        <v>6.9916128503722558E-2</v>
      </c>
      <c r="F47" s="55">
        <v>2.5264560469756003E-2</v>
      </c>
      <c r="G47" s="8">
        <v>2.6291257165117626E-2</v>
      </c>
      <c r="H47" s="8">
        <v>1.0358570636086199E-3</v>
      </c>
      <c r="K47" s="2"/>
      <c r="L47" s="40"/>
      <c r="M47" s="40"/>
      <c r="N47" s="40"/>
      <c r="O47" s="40"/>
      <c r="P47" s="40"/>
      <c r="Q47" s="40"/>
      <c r="T47"/>
      <c r="U47"/>
      <c r="V47"/>
      <c r="W47"/>
      <c r="X47"/>
      <c r="Y47"/>
    </row>
    <row r="48" spans="1:25" ht="15" thickBot="1" x14ac:dyDescent="0.35">
      <c r="B48" s="1" t="s">
        <v>19</v>
      </c>
      <c r="C48" s="85">
        <v>3.6493466209676093E-3</v>
      </c>
      <c r="D48" s="85">
        <v>4.8072927123160945E-3</v>
      </c>
      <c r="E48" s="54">
        <v>3.6738388801687348E-3</v>
      </c>
      <c r="F48" s="55">
        <v>4.8395564217947277E-3</v>
      </c>
      <c r="G48" s="8">
        <v>3.6423818110741884E-3</v>
      </c>
      <c r="H48" s="8">
        <v>4.798117952195766E-3</v>
      </c>
      <c r="L48" s="101" t="s">
        <v>109</v>
      </c>
      <c r="M48" s="101"/>
      <c r="N48" s="101" t="s">
        <v>86</v>
      </c>
      <c r="O48" s="101"/>
      <c r="P48" s="101" t="s">
        <v>110</v>
      </c>
      <c r="Q48" s="101"/>
      <c r="T48"/>
      <c r="U48"/>
      <c r="V48"/>
      <c r="W48"/>
      <c r="X48"/>
      <c r="Y48"/>
    </row>
    <row r="49" spans="2:25" ht="14.4" x14ac:dyDescent="0.3">
      <c r="B49" s="1" t="s">
        <v>20</v>
      </c>
      <c r="C49" s="85">
        <v>8.1426649248599839E-4</v>
      </c>
      <c r="D49" s="85">
        <v>2.5887085021231165E-4</v>
      </c>
      <c r="E49" s="54">
        <v>8.1973136827449518E-4</v>
      </c>
      <c r="F49" s="55">
        <v>2.6060823846877013E-4</v>
      </c>
      <c r="G49" s="8">
        <v>8.1271245777464419E-4</v>
      </c>
      <c r="H49" s="8">
        <v>2.5837679293413539E-4</v>
      </c>
      <c r="N49" s="50"/>
      <c r="O49" s="51"/>
      <c r="T49"/>
      <c r="U49"/>
      <c r="V49"/>
      <c r="W49"/>
      <c r="X49"/>
      <c r="Y49"/>
    </row>
    <row r="50" spans="2:25" ht="14.4" x14ac:dyDescent="0.3">
      <c r="B50" s="1" t="s">
        <v>21</v>
      </c>
      <c r="C50" s="85">
        <v>1.7572101119999996E-2</v>
      </c>
      <c r="D50" s="85">
        <v>7.3033408000000013E-3</v>
      </c>
      <c r="E50" s="54">
        <v>1.7572101119999996E-2</v>
      </c>
      <c r="F50" s="55">
        <v>7.3111248000000024E-3</v>
      </c>
      <c r="G50" s="8">
        <v>1.7572101119999996E-2</v>
      </c>
      <c r="H50" s="8">
        <v>7.3033408000000013E-3</v>
      </c>
      <c r="L50" s="78" t="s">
        <v>4</v>
      </c>
      <c r="M50" s="80" t="s">
        <v>5</v>
      </c>
      <c r="N50" s="79" t="s">
        <v>4</v>
      </c>
      <c r="O50" s="80" t="s">
        <v>5</v>
      </c>
      <c r="P50" s="78" t="s">
        <v>4</v>
      </c>
      <c r="Q50" s="78" t="s">
        <v>5</v>
      </c>
      <c r="T50"/>
      <c r="U50"/>
      <c r="V50"/>
      <c r="W50"/>
      <c r="X50"/>
      <c r="Y50"/>
    </row>
    <row r="51" spans="2:25" ht="14.4" x14ac:dyDescent="0.3">
      <c r="B51" s="1" t="s">
        <v>22</v>
      </c>
      <c r="C51" s="85">
        <v>0</v>
      </c>
      <c r="D51" s="85">
        <v>0</v>
      </c>
      <c r="E51" s="54">
        <v>0</v>
      </c>
      <c r="F51" s="55">
        <v>0</v>
      </c>
      <c r="G51" s="8">
        <v>0</v>
      </c>
      <c r="H51" s="8">
        <v>0</v>
      </c>
      <c r="K51" s="1" t="s">
        <v>59</v>
      </c>
      <c r="L51" s="9">
        <f t="shared" ref="L51:Q51" si="31">C6/L25</f>
        <v>0.14951956581174114</v>
      </c>
      <c r="M51" s="9">
        <f t="shared" si="31"/>
        <v>0.18458340960039488</v>
      </c>
      <c r="N51" s="62">
        <f t="shared" si="31"/>
        <v>0.11199503258530769</v>
      </c>
      <c r="O51" s="63">
        <f t="shared" si="31"/>
        <v>0.12813303225689393</v>
      </c>
      <c r="P51" s="9">
        <f t="shared" si="31"/>
        <v>0.1260477346541907</v>
      </c>
      <c r="Q51" s="9">
        <f t="shared" si="31"/>
        <v>0.14444740552769167</v>
      </c>
      <c r="T51"/>
      <c r="U51"/>
      <c r="V51"/>
      <c r="W51"/>
      <c r="X51"/>
      <c r="Y51"/>
    </row>
    <row r="52" spans="2:25" ht="14.4" x14ac:dyDescent="0.3">
      <c r="B52" s="1" t="s">
        <v>23</v>
      </c>
      <c r="C52" s="85">
        <v>2.4893866666666662E-5</v>
      </c>
      <c r="D52" s="85">
        <v>3.0622666666666664E-21</v>
      </c>
      <c r="E52" s="54">
        <v>2.4893866666666662E-5</v>
      </c>
      <c r="F52" s="55">
        <v>3.0797666666666669E-18</v>
      </c>
      <c r="G52" s="8">
        <v>2.4893866666666662E-5</v>
      </c>
      <c r="H52" s="8">
        <v>3.0622666666666664E-18</v>
      </c>
      <c r="K52" s="1" t="s">
        <v>61</v>
      </c>
      <c r="L52" s="9">
        <f t="shared" ref="L52:Q52" si="32">SUM(C24:C25)/L25</f>
        <v>7.9734596813595141E-2</v>
      </c>
      <c r="M52" s="9">
        <f t="shared" si="32"/>
        <v>8.8910763835426981E-2</v>
      </c>
      <c r="N52" s="62">
        <f t="shared" si="32"/>
        <v>3.9688244435649465E-2</v>
      </c>
      <c r="O52" s="63">
        <f t="shared" si="32"/>
        <v>4.4300979823965088E-2</v>
      </c>
      <c r="P52" s="9">
        <f t="shared" si="32"/>
        <v>5.3744177804415053E-2</v>
      </c>
      <c r="Q52" s="9">
        <f t="shared" si="32"/>
        <v>5.987951861537405E-2</v>
      </c>
      <c r="T52"/>
      <c r="U52"/>
      <c r="V52"/>
      <c r="W52"/>
      <c r="X52"/>
      <c r="Y52"/>
    </row>
    <row r="53" spans="2:25" ht="14.4" x14ac:dyDescent="0.3">
      <c r="B53" s="1" t="s">
        <v>24</v>
      </c>
      <c r="C53" s="85">
        <v>7.0715156479999996E-3</v>
      </c>
      <c r="D53" s="85">
        <v>2.9213363200000014E-3</v>
      </c>
      <c r="E53" s="54">
        <v>7.0715156479999996E-3</v>
      </c>
      <c r="F53" s="55">
        <v>2.9244499200000063E-3</v>
      </c>
      <c r="G53" s="8">
        <v>7.0715156479999996E-3</v>
      </c>
      <c r="H53" s="8">
        <v>2.9213363200000057E-3</v>
      </c>
      <c r="K53" s="1" t="s">
        <v>27</v>
      </c>
      <c r="L53" s="9">
        <f t="shared" ref="L53:Q53" si="33">C43/L25</f>
        <v>9.2240804605767376E-2</v>
      </c>
      <c r="M53" s="9">
        <f t="shared" si="33"/>
        <v>8.5110359144101019E-2</v>
      </c>
      <c r="N53" s="62">
        <f t="shared" si="33"/>
        <v>6.8533676651063413E-2</v>
      </c>
      <c r="O53" s="63">
        <f t="shared" si="33"/>
        <v>5.8806812219497281E-2</v>
      </c>
      <c r="P53" s="9">
        <f t="shared" si="33"/>
        <v>7.6267660871552609E-2</v>
      </c>
      <c r="Q53" s="9">
        <f t="shared" si="33"/>
        <v>6.5323546986437039E-2</v>
      </c>
      <c r="T53"/>
      <c r="U53"/>
      <c r="V53"/>
      <c r="W53"/>
      <c r="X53"/>
      <c r="Y53"/>
    </row>
    <row r="54" spans="2:25" ht="14.4" x14ac:dyDescent="0.3">
      <c r="B54" s="1" t="s">
        <v>25</v>
      </c>
      <c r="C54" s="85">
        <v>1.0599562731134248E-3</v>
      </c>
      <c r="D54" s="85">
        <v>1.3733929581971824E-3</v>
      </c>
      <c r="E54" s="54">
        <v>1.059956273113425E-3</v>
      </c>
      <c r="F54" s="55">
        <v>1.3791154288563374E-3</v>
      </c>
      <c r="G54" s="8">
        <v>1.0599562731134248E-3</v>
      </c>
      <c r="H54" s="8">
        <v>1.3733929581971824E-3</v>
      </c>
      <c r="K54" s="1" t="s">
        <v>60</v>
      </c>
      <c r="L54" s="9">
        <f t="shared" ref="L54:Q54" si="34">((L6-C6-SUM(C24:C25)-C43)+L12+L18)/L25</f>
        <v>0.26333286449979004</v>
      </c>
      <c r="M54" s="9">
        <f t="shared" si="34"/>
        <v>0.25374322918667996</v>
      </c>
      <c r="N54" s="62">
        <f t="shared" si="34"/>
        <v>0.31623635039934589</v>
      </c>
      <c r="O54" s="63">
        <f t="shared" si="34"/>
        <v>0.28347824065360211</v>
      </c>
      <c r="P54" s="9">
        <f t="shared" si="34"/>
        <v>0.26324381805996111</v>
      </c>
      <c r="Q54" s="9">
        <f t="shared" si="34"/>
        <v>0.23785541086533243</v>
      </c>
      <c r="T54"/>
      <c r="U54"/>
      <c r="V54"/>
      <c r="W54"/>
      <c r="X54"/>
      <c r="Y54"/>
    </row>
    <row r="55" spans="2:25" ht="14.4" x14ac:dyDescent="0.3">
      <c r="B55" s="1" t="s">
        <v>2</v>
      </c>
      <c r="C55" s="86">
        <v>7.6580617505565801E-2</v>
      </c>
      <c r="D55" s="87">
        <v>5.0046059768206086E-2</v>
      </c>
      <c r="E55" s="74">
        <v>6.6588990349313926E-2</v>
      </c>
      <c r="F55" s="75">
        <v>0.11908854433643712</v>
      </c>
      <c r="G55" s="6">
        <v>4.7768484498334096E-2</v>
      </c>
      <c r="H55" s="6">
        <v>9.2450370785990249E-2</v>
      </c>
      <c r="K55" s="1" t="s">
        <v>40</v>
      </c>
      <c r="L55" s="9">
        <f t="shared" ref="L55:Q55" si="35">(L7+L13+L19)/L25</f>
        <v>3.5177026861191826E-2</v>
      </c>
      <c r="M55" s="9">
        <f t="shared" si="35"/>
        <v>5.1407464274841726E-2</v>
      </c>
      <c r="N55" s="62">
        <f t="shared" si="35"/>
        <v>7.5729248139840291E-2</v>
      </c>
      <c r="O55" s="63">
        <f t="shared" si="35"/>
        <v>5.599557130174565E-2</v>
      </c>
      <c r="P55" s="9">
        <f t="shared" si="35"/>
        <v>8.3639548401925404E-2</v>
      </c>
      <c r="Q55" s="9">
        <f t="shared" si="35"/>
        <v>5.9311257396227474E-2</v>
      </c>
      <c r="T55"/>
      <c r="U55"/>
      <c r="V55"/>
      <c r="W55"/>
      <c r="X55"/>
      <c r="Y55"/>
    </row>
    <row r="56" spans="2:25" ht="14.4" x14ac:dyDescent="0.3">
      <c r="B56" s="1" t="s">
        <v>3</v>
      </c>
      <c r="C56" s="85">
        <f>SUM(C43:C55)</f>
        <v>0.41584404260975083</v>
      </c>
      <c r="D56" s="85">
        <f>SUM(D43:D55)</f>
        <v>0.30408133101631618</v>
      </c>
      <c r="E56" s="72">
        <v>0.36611115358839796</v>
      </c>
      <c r="F56" s="73">
        <v>0.34338338846794159</v>
      </c>
      <c r="G56" s="5">
        <v>0.26538046943518961</v>
      </c>
      <c r="H56" s="5">
        <v>0.25453173195429007</v>
      </c>
      <c r="K56" s="1" t="s">
        <v>58</v>
      </c>
      <c r="L56" s="9">
        <f t="shared" ref="L56:Q56" si="36">SUM(L9:L10,L15:L16,L21:L22)/L25</f>
        <v>0.1555261806521277</v>
      </c>
      <c r="M56" s="9">
        <f t="shared" si="36"/>
        <v>0.10476454574354502</v>
      </c>
      <c r="N56" s="62">
        <f t="shared" si="36"/>
        <v>0.18670356998092003</v>
      </c>
      <c r="O56" s="63">
        <f t="shared" si="36"/>
        <v>0.11658331284448258</v>
      </c>
      <c r="P56" s="9">
        <f t="shared" si="36"/>
        <v>0.19284380569495932</v>
      </c>
      <c r="Q56" s="9">
        <f t="shared" si="36"/>
        <v>0.1207016304627517</v>
      </c>
      <c r="T56"/>
      <c r="U56"/>
      <c r="V56"/>
      <c r="W56"/>
      <c r="X56"/>
      <c r="Y56"/>
    </row>
    <row r="57" spans="2:25" ht="14.4" x14ac:dyDescent="0.3">
      <c r="K57" s="1" t="s">
        <v>41</v>
      </c>
      <c r="L57" s="9">
        <f t="shared" ref="L57:Q57" si="37">(L8+L14+L20)/L25</f>
        <v>2.5429606655627456E-2</v>
      </c>
      <c r="M57" s="9">
        <f t="shared" si="37"/>
        <v>1.9184846902451109E-2</v>
      </c>
      <c r="N57" s="62">
        <f t="shared" si="37"/>
        <v>2.7758609489984876E-2</v>
      </c>
      <c r="O57" s="63">
        <f t="shared" si="37"/>
        <v>1.0103401618760274E-2</v>
      </c>
      <c r="P57" s="9">
        <f t="shared" si="37"/>
        <v>3.1039138213483964E-2</v>
      </c>
      <c r="Q57" s="9">
        <f t="shared" si="37"/>
        <v>1.1299674073176454E-2</v>
      </c>
      <c r="T57"/>
      <c r="U57"/>
      <c r="V57"/>
      <c r="W57"/>
      <c r="X57"/>
      <c r="Y57"/>
    </row>
    <row r="58" spans="2:25" ht="14.4" x14ac:dyDescent="0.3">
      <c r="K58" s="1" t="s">
        <v>43</v>
      </c>
      <c r="L58" s="9">
        <f t="shared" ref="L58:Q58" si="38">(L23+L17+L11)/L25</f>
        <v>0.19903935410015983</v>
      </c>
      <c r="M58" s="9">
        <f t="shared" si="38"/>
        <v>0.16042364950711568</v>
      </c>
      <c r="N58" s="62">
        <f t="shared" si="38"/>
        <v>0.17335526831788839</v>
      </c>
      <c r="O58" s="63">
        <f t="shared" si="38"/>
        <v>0.25666094693724018</v>
      </c>
      <c r="P58" s="9">
        <f t="shared" si="38"/>
        <v>0.17317411629951199</v>
      </c>
      <c r="Q58" s="9">
        <f t="shared" si="38"/>
        <v>0.24917099810268054</v>
      </c>
      <c r="T58"/>
      <c r="U58"/>
      <c r="V58"/>
      <c r="W58"/>
      <c r="X58"/>
      <c r="Y58"/>
    </row>
    <row r="59" spans="2:25" ht="14.4" x14ac:dyDescent="0.3">
      <c r="K59" s="1" t="s">
        <v>35</v>
      </c>
      <c r="L59" s="19">
        <f t="shared" ref="L59:Q59" si="39">L24/L25</f>
        <v>0</v>
      </c>
      <c r="M59" s="19">
        <f t="shared" si="39"/>
        <v>5.1871731805443654E-2</v>
      </c>
      <c r="N59" s="64">
        <f t="shared" si="39"/>
        <v>0</v>
      </c>
      <c r="O59" s="65">
        <f t="shared" si="39"/>
        <v>4.5937702343812913E-2</v>
      </c>
      <c r="P59" s="19">
        <f t="shared" si="39"/>
        <v>0</v>
      </c>
      <c r="Q59" s="19">
        <f t="shared" si="39"/>
        <v>5.2010557970328511E-2</v>
      </c>
      <c r="T59"/>
      <c r="U59"/>
      <c r="V59"/>
      <c r="W59"/>
      <c r="X59"/>
      <c r="Y59"/>
    </row>
    <row r="60" spans="2:25" ht="14.4" x14ac:dyDescent="0.3">
      <c r="L60" s="11">
        <f t="shared" ref="L60:Q60" si="40">SUM(L51:L59)</f>
        <v>1.0000000000000004</v>
      </c>
      <c r="M60" s="11">
        <f t="shared" si="40"/>
        <v>1</v>
      </c>
      <c r="N60" s="66">
        <f t="shared" si="40"/>
        <v>1</v>
      </c>
      <c r="O60" s="67">
        <f t="shared" si="40"/>
        <v>0.99999999999999989</v>
      </c>
      <c r="P60" s="11">
        <f t="shared" si="40"/>
        <v>1.0000000000000002</v>
      </c>
      <c r="Q60" s="11">
        <f t="shared" si="40"/>
        <v>0.99999999999999978</v>
      </c>
      <c r="T60"/>
      <c r="U60"/>
      <c r="V60"/>
      <c r="W60"/>
      <c r="X60"/>
      <c r="Y60"/>
    </row>
    <row r="61" spans="2:25" ht="14.4" x14ac:dyDescent="0.3">
      <c r="T61"/>
      <c r="U61"/>
      <c r="V61"/>
      <c r="W61"/>
      <c r="X61"/>
      <c r="Y61"/>
    </row>
    <row r="62" spans="2:25" ht="15" thickBot="1" x14ac:dyDescent="0.35">
      <c r="L62" s="101" t="s">
        <v>109</v>
      </c>
      <c r="M62" s="101"/>
      <c r="N62" s="101" t="s">
        <v>86</v>
      </c>
      <c r="O62" s="101"/>
      <c r="P62" s="101" t="s">
        <v>110</v>
      </c>
      <c r="Q62" s="101"/>
      <c r="T62"/>
      <c r="U62"/>
      <c r="V62"/>
      <c r="W62"/>
      <c r="X62"/>
      <c r="Y62"/>
    </row>
    <row r="63" spans="2:25" ht="14.4" x14ac:dyDescent="0.3">
      <c r="N63" s="50"/>
      <c r="O63" s="51"/>
      <c r="T63"/>
      <c r="U63"/>
      <c r="V63"/>
      <c r="W63"/>
      <c r="X63"/>
      <c r="Y63"/>
    </row>
    <row r="64" spans="2:25" ht="14.4" x14ac:dyDescent="0.3">
      <c r="L64" s="78" t="s">
        <v>4</v>
      </c>
      <c r="M64" s="80" t="s">
        <v>5</v>
      </c>
      <c r="N64" s="79" t="s">
        <v>4</v>
      </c>
      <c r="O64" s="80" t="s">
        <v>5</v>
      </c>
      <c r="P64" s="78" t="s">
        <v>4</v>
      </c>
      <c r="Q64" s="78" t="s">
        <v>5</v>
      </c>
      <c r="T64"/>
      <c r="U64"/>
      <c r="V64"/>
      <c r="W64"/>
      <c r="X64"/>
      <c r="Y64"/>
    </row>
    <row r="65" spans="11:25" ht="14.4" x14ac:dyDescent="0.3">
      <c r="K65" s="1" t="s">
        <v>47</v>
      </c>
      <c r="L65" s="3">
        <f t="shared" ref="L65:Q65" si="41">SUM(L6:L8,L10)</f>
        <v>0.30781056162113335</v>
      </c>
      <c r="M65" s="3">
        <f t="shared" si="41"/>
        <v>0.26870021594977206</v>
      </c>
      <c r="N65" s="58">
        <f t="shared" si="41"/>
        <v>0.27884035894554221</v>
      </c>
      <c r="O65" s="59">
        <f t="shared" si="41"/>
        <v>0.20338667378516839</v>
      </c>
      <c r="P65" s="3">
        <f t="shared" si="41"/>
        <v>0.26550227718889025</v>
      </c>
      <c r="Q65" s="3">
        <f t="shared" si="41"/>
        <v>0.19366394300501369</v>
      </c>
      <c r="T65"/>
      <c r="U65"/>
      <c r="V65"/>
      <c r="W65"/>
      <c r="X65"/>
      <c r="Y65"/>
    </row>
    <row r="66" spans="11:25" ht="14.4" x14ac:dyDescent="0.3">
      <c r="K66" s="1" t="s">
        <v>48</v>
      </c>
      <c r="L66" s="3">
        <f t="shared" ref="L66:Q66" si="42">L9</f>
        <v>3.932868473004026E-2</v>
      </c>
      <c r="M66" s="3">
        <f t="shared" si="42"/>
        <v>2.0110873766882361E-2</v>
      </c>
      <c r="N66" s="58">
        <f t="shared" si="42"/>
        <v>3.7737156099303414E-2</v>
      </c>
      <c r="O66" s="59">
        <f t="shared" si="42"/>
        <v>1.9116811740566574E-2</v>
      </c>
      <c r="P66" s="3">
        <f t="shared" si="42"/>
        <v>2.8880134165313674E-2</v>
      </c>
      <c r="Q66" s="3">
        <f t="shared" si="42"/>
        <v>1.4549817110366308E-2</v>
      </c>
      <c r="T66"/>
      <c r="U66"/>
      <c r="V66"/>
      <c r="W66"/>
      <c r="X66"/>
      <c r="Y66"/>
    </row>
    <row r="67" spans="11:25" ht="14.4" x14ac:dyDescent="0.3">
      <c r="K67" s="1" t="s">
        <v>53</v>
      </c>
      <c r="L67" s="3">
        <f t="shared" ref="L67:Q67" si="43">L11</f>
        <v>9.9539590556930693E-2</v>
      </c>
      <c r="M67" s="3">
        <f t="shared" si="43"/>
        <v>6.4069052580613753E-2</v>
      </c>
      <c r="N67" s="58">
        <f t="shared" si="43"/>
        <v>5.9447699345808069E-2</v>
      </c>
      <c r="O67" s="59">
        <f t="shared" si="43"/>
        <v>6.2757393353412405E-2</v>
      </c>
      <c r="P67" s="3">
        <f t="shared" si="43"/>
        <v>5.3181005848557505E-2</v>
      </c>
      <c r="Q67" s="3">
        <f t="shared" si="43"/>
        <v>5.1575258634994264E-2</v>
      </c>
      <c r="T67"/>
      <c r="U67"/>
      <c r="V67"/>
      <c r="W67"/>
      <c r="X67"/>
      <c r="Y67"/>
    </row>
    <row r="68" spans="11:25" ht="14.4" x14ac:dyDescent="0.3">
      <c r="K68" s="1" t="s">
        <v>49</v>
      </c>
      <c r="L68" s="3">
        <f t="shared" ref="L68:Q68" si="44">SUM(L12:L14,L16)</f>
        <v>0.1939653631234402</v>
      </c>
      <c r="M68" s="3">
        <f t="shared" si="44"/>
        <v>0.17267734684369351</v>
      </c>
      <c r="N68" s="58">
        <f t="shared" si="44"/>
        <v>0.13794846549184767</v>
      </c>
      <c r="O68" s="59">
        <f t="shared" si="44"/>
        <v>0.11670254026021944</v>
      </c>
      <c r="P68" s="3">
        <f t="shared" si="44"/>
        <v>0.14498135586810676</v>
      </c>
      <c r="Q68" s="3">
        <f t="shared" si="44"/>
        <v>0.12364753898043174</v>
      </c>
      <c r="T68"/>
      <c r="U68"/>
      <c r="V68"/>
      <c r="W68"/>
      <c r="X68"/>
      <c r="Y68"/>
    </row>
    <row r="69" spans="11:25" ht="14.4" x14ac:dyDescent="0.3">
      <c r="K69" s="1" t="s">
        <v>50</v>
      </c>
      <c r="L69" s="3">
        <f t="shared" ref="L69:Q69" si="45">L15</f>
        <v>6.9467716140023505E-2</v>
      </c>
      <c r="M69" s="3">
        <f t="shared" si="45"/>
        <v>4.3757495335E-2</v>
      </c>
      <c r="N69" s="58">
        <f t="shared" si="45"/>
        <v>6.9467716140023505E-2</v>
      </c>
      <c r="O69" s="59">
        <f t="shared" si="45"/>
        <v>4.3757495335E-2</v>
      </c>
      <c r="P69" s="3">
        <f t="shared" si="45"/>
        <v>6.9214826605570753E-2</v>
      </c>
      <c r="Q69" s="3">
        <f t="shared" si="45"/>
        <v>4.3500867510121916E-2</v>
      </c>
      <c r="T69"/>
      <c r="U69"/>
      <c r="V69"/>
      <c r="W69"/>
      <c r="X69"/>
      <c r="Y69"/>
    </row>
    <row r="70" spans="11:25" ht="14.4" x14ac:dyDescent="0.3">
      <c r="K70" s="1" t="s">
        <v>54</v>
      </c>
      <c r="L70" s="3">
        <f t="shared" ref="L70:Q70" si="46">L17</f>
        <v>5.9914727351740998E-2</v>
      </c>
      <c r="M70" s="3">
        <f t="shared" si="46"/>
        <v>4.0519834204362448E-2</v>
      </c>
      <c r="N70" s="58">
        <f t="shared" si="46"/>
        <v>4.6662424432468264E-2</v>
      </c>
      <c r="O70" s="59">
        <f t="shared" si="46"/>
        <v>4.1640160954183686E-2</v>
      </c>
      <c r="P70" s="3">
        <f t="shared" si="46"/>
        <v>5.1147116957880712E-2</v>
      </c>
      <c r="Q70" s="3">
        <f t="shared" si="46"/>
        <v>4.7605460747154077E-2</v>
      </c>
      <c r="T70"/>
      <c r="U70"/>
      <c r="V70"/>
      <c r="W70"/>
      <c r="X70"/>
      <c r="Y70"/>
    </row>
    <row r="71" spans="11:25" ht="14.4" x14ac:dyDescent="0.3">
      <c r="K71" s="1" t="s">
        <v>51</v>
      </c>
      <c r="L71" s="3">
        <f t="shared" ref="L71:Q71" si="47">SUM(L18:L20,L22,L24)</f>
        <v>0.32166643011751839</v>
      </c>
      <c r="M71" s="3">
        <f t="shared" si="47"/>
        <v>0.29673193044811014</v>
      </c>
      <c r="N71" s="58">
        <f t="shared" si="47"/>
        <v>0.28192516825241731</v>
      </c>
      <c r="O71" s="59">
        <f t="shared" si="47"/>
        <v>0.25698371933150443</v>
      </c>
      <c r="P71" s="3">
        <f t="shared" si="47"/>
        <v>0.20001498995018888</v>
      </c>
      <c r="Q71" s="3">
        <f t="shared" si="47"/>
        <v>0.19477802036829983</v>
      </c>
      <c r="T71"/>
      <c r="U71"/>
      <c r="V71"/>
      <c r="W71"/>
      <c r="X71"/>
      <c r="Y71"/>
    </row>
    <row r="72" spans="11:25" ht="14.4" x14ac:dyDescent="0.3">
      <c r="K72" s="1" t="s">
        <v>52</v>
      </c>
      <c r="L72" s="3">
        <f t="shared" ref="L72:Q72" si="48">L21</f>
        <v>1.7596994986666663E-2</v>
      </c>
      <c r="M72" s="3">
        <f t="shared" si="48"/>
        <v>7.3033408000000013E-3</v>
      </c>
      <c r="N72" s="58">
        <f t="shared" si="48"/>
        <v>1.7596994986666663E-2</v>
      </c>
      <c r="O72" s="59">
        <f t="shared" si="48"/>
        <v>7.3111248000000059E-3</v>
      </c>
      <c r="P72" s="3">
        <f t="shared" si="48"/>
        <v>1.7596994986666663E-2</v>
      </c>
      <c r="Q72" s="3">
        <f t="shared" si="48"/>
        <v>7.3033408000000048E-3</v>
      </c>
      <c r="T72"/>
      <c r="U72"/>
      <c r="V72"/>
      <c r="W72"/>
      <c r="X72"/>
      <c r="Y72"/>
    </row>
    <row r="73" spans="11:25" ht="14.4" x14ac:dyDescent="0.3">
      <c r="K73" s="1" t="s">
        <v>55</v>
      </c>
      <c r="L73" s="12">
        <f t="shared" ref="L73:Q73" si="49">L23</f>
        <v>7.6580617505565801E-2</v>
      </c>
      <c r="M73" s="12">
        <f t="shared" si="49"/>
        <v>5.0046059768206086E-2</v>
      </c>
      <c r="N73" s="60">
        <f t="shared" si="49"/>
        <v>6.6588990349313926E-2</v>
      </c>
      <c r="O73" s="61">
        <f t="shared" si="49"/>
        <v>0.11908854433643712</v>
      </c>
      <c r="P73" s="12">
        <f t="shared" si="49"/>
        <v>4.7768484498334096E-2</v>
      </c>
      <c r="Q73" s="12">
        <f t="shared" si="49"/>
        <v>9.2450370785990249E-2</v>
      </c>
      <c r="T73"/>
      <c r="U73"/>
      <c r="V73"/>
      <c r="W73"/>
      <c r="X73"/>
      <c r="Y73"/>
    </row>
    <row r="74" spans="11:25" ht="14.4" x14ac:dyDescent="0.3">
      <c r="K74" s="1" t="s">
        <v>3</v>
      </c>
      <c r="L74" s="3">
        <f>SUM(L65:L73)</f>
        <v>1.1858706861330597</v>
      </c>
      <c r="M74" s="3">
        <f t="shared" ref="M74:O74" si="50">SUM(M65:M73)</f>
        <v>0.96391614969664019</v>
      </c>
      <c r="N74" s="58">
        <f>SUM(N65:N73)</f>
        <v>0.99621497404339099</v>
      </c>
      <c r="O74" s="59">
        <f t="shared" si="50"/>
        <v>0.87074446389649196</v>
      </c>
      <c r="P74" s="3">
        <f>SUM(P65:P73)</f>
        <v>0.87828718606950917</v>
      </c>
      <c r="Q74" s="3">
        <f t="shared" ref="Q74" si="51">SUM(Q65:Q73)</f>
        <v>0.7690746179423722</v>
      </c>
      <c r="T74"/>
      <c r="U74"/>
      <c r="V74"/>
      <c r="W74"/>
      <c r="X74"/>
      <c r="Y74"/>
    </row>
    <row r="75" spans="11:25" ht="14.4" x14ac:dyDescent="0.3">
      <c r="T75"/>
      <c r="U75"/>
      <c r="V75"/>
      <c r="W75"/>
      <c r="X75"/>
      <c r="Y75"/>
    </row>
    <row r="76" spans="11:25" ht="15" thickBot="1" x14ac:dyDescent="0.35">
      <c r="L76" s="101" t="s">
        <v>109</v>
      </c>
      <c r="M76" s="101"/>
      <c r="N76" s="101" t="s">
        <v>86</v>
      </c>
      <c r="O76" s="101"/>
      <c r="P76" s="101" t="s">
        <v>110</v>
      </c>
      <c r="Q76" s="101"/>
      <c r="T76"/>
      <c r="U76"/>
      <c r="V76"/>
      <c r="W76"/>
      <c r="X76"/>
      <c r="Y76"/>
    </row>
    <row r="77" spans="11:25" ht="14.4" x14ac:dyDescent="0.3">
      <c r="N77" s="50"/>
      <c r="O77" s="51"/>
      <c r="T77"/>
      <c r="U77"/>
      <c r="V77"/>
      <c r="W77"/>
      <c r="X77"/>
      <c r="Y77"/>
    </row>
    <row r="78" spans="11:25" ht="14.4" x14ac:dyDescent="0.3">
      <c r="L78" s="78" t="s">
        <v>4</v>
      </c>
      <c r="M78" s="80" t="s">
        <v>5</v>
      </c>
      <c r="N78" s="79" t="s">
        <v>4</v>
      </c>
      <c r="O78" s="80" t="s">
        <v>5</v>
      </c>
      <c r="P78" s="78" t="s">
        <v>4</v>
      </c>
      <c r="Q78" s="78" t="s">
        <v>5</v>
      </c>
      <c r="T78"/>
      <c r="U78"/>
      <c r="V78"/>
      <c r="W78"/>
      <c r="X78"/>
      <c r="Y78"/>
    </row>
    <row r="79" spans="11:25" ht="14.4" x14ac:dyDescent="0.3">
      <c r="K79" s="1" t="s">
        <v>56</v>
      </c>
      <c r="L79" s="3">
        <f t="shared" ref="L79" si="52">L65+L68+L71</f>
        <v>0.82344235486209194</v>
      </c>
      <c r="M79" s="3">
        <f>M65+M68+M71</f>
        <v>0.73810949324157571</v>
      </c>
      <c r="N79" s="58">
        <f t="shared" ref="N79:O80" si="53">N65+N68+N71</f>
        <v>0.69871399268980716</v>
      </c>
      <c r="O79" s="59">
        <f>O65+O68+O71</f>
        <v>0.57707293337689225</v>
      </c>
      <c r="P79" s="3">
        <f t="shared" ref="P79" si="54">P65+P68+P71</f>
        <v>0.61049862300718583</v>
      </c>
      <c r="Q79" s="3">
        <f>Q65+Q68+Q71</f>
        <v>0.51208950235374529</v>
      </c>
      <c r="T79"/>
      <c r="U79"/>
      <c r="V79"/>
      <c r="W79"/>
      <c r="X79"/>
      <c r="Y79"/>
    </row>
    <row r="80" spans="11:25" ht="14.4" x14ac:dyDescent="0.3">
      <c r="K80" s="1" t="s">
        <v>57</v>
      </c>
      <c r="L80" s="3">
        <f t="shared" ref="L80:M80" si="55">L66+L69+L72</f>
        <v>0.12639339585673043</v>
      </c>
      <c r="M80" s="3">
        <f t="shared" si="55"/>
        <v>7.117170990188236E-2</v>
      </c>
      <c r="N80" s="58">
        <f t="shared" si="53"/>
        <v>0.1248018672259936</v>
      </c>
      <c r="O80" s="59">
        <f t="shared" si="53"/>
        <v>7.0185431875566584E-2</v>
      </c>
      <c r="P80" s="3">
        <f t="shared" ref="P80:Q80" si="56">P66+P69+P72</f>
        <v>0.11569195575755109</v>
      </c>
      <c r="Q80" s="3">
        <f t="shared" si="56"/>
        <v>6.5354025420488224E-2</v>
      </c>
      <c r="T80"/>
      <c r="U80"/>
      <c r="V80"/>
      <c r="W80"/>
      <c r="X80"/>
      <c r="Y80"/>
    </row>
    <row r="81" spans="11:25" ht="14.4" x14ac:dyDescent="0.3">
      <c r="K81" s="1" t="s">
        <v>43</v>
      </c>
      <c r="L81" s="12">
        <f t="shared" ref="L81:Q81" si="57">L73+L70+L67</f>
        <v>0.23603493541423748</v>
      </c>
      <c r="M81" s="12">
        <f t="shared" si="57"/>
        <v>0.15463494655318227</v>
      </c>
      <c r="N81" s="60">
        <f t="shared" si="57"/>
        <v>0.17269911412759026</v>
      </c>
      <c r="O81" s="61">
        <f t="shared" si="57"/>
        <v>0.22348609864403321</v>
      </c>
      <c r="P81" s="12">
        <f t="shared" si="57"/>
        <v>0.15209660730477231</v>
      </c>
      <c r="Q81" s="12">
        <f t="shared" si="57"/>
        <v>0.19163109016813859</v>
      </c>
      <c r="T81"/>
      <c r="U81"/>
      <c r="V81"/>
      <c r="W81"/>
      <c r="X81"/>
      <c r="Y81"/>
    </row>
    <row r="82" spans="11:25" ht="14.4" x14ac:dyDescent="0.3">
      <c r="L82" s="3">
        <f>SUM(L79:L81)</f>
        <v>1.1858706861330599</v>
      </c>
      <c r="M82" s="3">
        <f t="shared" ref="M82:O82" si="58">SUM(M79:M81)</f>
        <v>0.96391614969664041</v>
      </c>
      <c r="N82" s="58">
        <f>SUM(N79:N81)</f>
        <v>0.99621497404339099</v>
      </c>
      <c r="O82" s="59">
        <f t="shared" si="58"/>
        <v>0.87074446389649207</v>
      </c>
      <c r="P82" s="3">
        <f>SUM(P79:P81)</f>
        <v>0.87828718606950917</v>
      </c>
      <c r="Q82" s="3">
        <f t="shared" ref="Q82" si="59">SUM(Q79:Q81)</f>
        <v>0.76907461794237209</v>
      </c>
      <c r="T82"/>
      <c r="U82"/>
      <c r="V82"/>
      <c r="W82"/>
      <c r="X82"/>
      <c r="Y82"/>
    </row>
    <row r="83" spans="11:25" ht="14.4" x14ac:dyDescent="0.3">
      <c r="T83"/>
      <c r="U83"/>
      <c r="V83"/>
      <c r="W83"/>
      <c r="X83"/>
    </row>
    <row r="84" spans="11:25" ht="15" thickBot="1" x14ac:dyDescent="0.35">
      <c r="K84" s="2" t="s">
        <v>37</v>
      </c>
      <c r="L84" s="101" t="s">
        <v>109</v>
      </c>
      <c r="M84" s="101"/>
      <c r="N84" s="101" t="s">
        <v>86</v>
      </c>
      <c r="O84" s="101"/>
      <c r="P84" s="101" t="s">
        <v>110</v>
      </c>
      <c r="Q84" s="101"/>
      <c r="T84"/>
      <c r="U84"/>
      <c r="V84"/>
      <c r="W84"/>
      <c r="X84"/>
    </row>
    <row r="85" spans="11:25" ht="14.4" x14ac:dyDescent="0.3">
      <c r="N85" s="50"/>
      <c r="O85" s="51"/>
      <c r="T85"/>
      <c r="U85"/>
      <c r="V85"/>
      <c r="W85"/>
      <c r="X85"/>
    </row>
    <row r="86" spans="11:25" ht="14.4" x14ac:dyDescent="0.3">
      <c r="N86" s="52"/>
      <c r="O86" s="53"/>
      <c r="T86"/>
      <c r="U86"/>
      <c r="V86"/>
      <c r="W86"/>
      <c r="X86"/>
    </row>
    <row r="87" spans="11:25" ht="14.4" x14ac:dyDescent="0.3">
      <c r="L87" s="78" t="s">
        <v>4</v>
      </c>
      <c r="M87" s="80" t="s">
        <v>5</v>
      </c>
      <c r="N87" s="79" t="s">
        <v>4</v>
      </c>
      <c r="O87" s="80" t="s">
        <v>5</v>
      </c>
      <c r="P87" s="78" t="s">
        <v>4</v>
      </c>
      <c r="Q87" s="78" t="s">
        <v>5</v>
      </c>
      <c r="T87"/>
      <c r="U87"/>
      <c r="V87"/>
      <c r="W87"/>
      <c r="X87"/>
    </row>
    <row r="88" spans="11:25" ht="14.4" x14ac:dyDescent="0.3">
      <c r="K88" s="1" t="s">
        <v>32</v>
      </c>
      <c r="L88" s="8">
        <f t="shared" ref="L88:Q88" si="60">C18</f>
        <v>0.44567883690810417</v>
      </c>
      <c r="M88" s="8">
        <f t="shared" si="60"/>
        <v>0.35288014229726811</v>
      </c>
      <c r="N88" s="54">
        <f t="shared" si="60"/>
        <v>0.37602521439065367</v>
      </c>
      <c r="O88" s="55">
        <f t="shared" si="60"/>
        <v>0.28526087887914736</v>
      </c>
      <c r="P88" s="8">
        <f t="shared" si="60"/>
        <v>0.34756341720276146</v>
      </c>
      <c r="Q88" s="8">
        <f t="shared" si="60"/>
        <v>0.25978901875037425</v>
      </c>
      <c r="T88"/>
      <c r="U88"/>
      <c r="V88"/>
      <c r="W88"/>
      <c r="X88"/>
    </row>
    <row r="89" spans="11:25" ht="14.4" x14ac:dyDescent="0.3">
      <c r="K89" s="1" t="s">
        <v>33</v>
      </c>
      <c r="L89" s="8">
        <f t="shared" ref="L89:Q89" si="61">C35</f>
        <v>0.32334780661520468</v>
      </c>
      <c r="M89" s="8">
        <f t="shared" si="61"/>
        <v>0.25695467638305602</v>
      </c>
      <c r="N89" s="54">
        <f t="shared" si="61"/>
        <v>0.25407860606433941</v>
      </c>
      <c r="O89" s="55">
        <f t="shared" si="61"/>
        <v>0.20210019654940309</v>
      </c>
      <c r="P89" s="8">
        <f t="shared" si="61"/>
        <v>0.26534329943155821</v>
      </c>
      <c r="Q89" s="8">
        <f t="shared" si="61"/>
        <v>0.21475386723770773</v>
      </c>
      <c r="T89"/>
      <c r="U89"/>
      <c r="V89"/>
      <c r="W89"/>
      <c r="X89"/>
    </row>
    <row r="90" spans="11:25" ht="14.4" x14ac:dyDescent="0.3">
      <c r="K90" s="1" t="s">
        <v>34</v>
      </c>
      <c r="L90" s="8">
        <f t="shared" ref="L90:Q90" si="62">C56</f>
        <v>0.41584404260975083</v>
      </c>
      <c r="M90" s="8">
        <f t="shared" si="62"/>
        <v>0.30408133101631618</v>
      </c>
      <c r="N90" s="54">
        <f t="shared" si="62"/>
        <v>0.36611115358839796</v>
      </c>
      <c r="O90" s="55">
        <f t="shared" si="62"/>
        <v>0.34338338846794159</v>
      </c>
      <c r="P90" s="8">
        <f t="shared" si="62"/>
        <v>0.26538046943518961</v>
      </c>
      <c r="Q90" s="8">
        <f t="shared" si="62"/>
        <v>0.25453173195429007</v>
      </c>
      <c r="T90"/>
      <c r="U90"/>
      <c r="V90"/>
      <c r="W90"/>
      <c r="X90"/>
    </row>
    <row r="91" spans="11:25" ht="14.4" x14ac:dyDescent="0.3">
      <c r="K91" s="1" t="s">
        <v>35</v>
      </c>
      <c r="L91" s="10">
        <v>0</v>
      </c>
      <c r="M91" s="10">
        <v>0.05</v>
      </c>
      <c r="N91" s="56">
        <v>0</v>
      </c>
      <c r="O91" s="57">
        <v>0.04</v>
      </c>
      <c r="P91" s="10">
        <v>0</v>
      </c>
      <c r="Q91" s="10">
        <v>0.04</v>
      </c>
      <c r="T91"/>
      <c r="U91"/>
      <c r="V91"/>
      <c r="W91"/>
      <c r="X91"/>
    </row>
    <row r="92" spans="11:25" ht="14.4" x14ac:dyDescent="0.3">
      <c r="L92" s="8">
        <f>SUM(L88:L91)</f>
        <v>1.1848706861330598</v>
      </c>
      <c r="M92" s="8">
        <f t="shared" ref="M92:O92" si="63">SUM(M88:M91)</f>
        <v>0.96391614969664041</v>
      </c>
      <c r="N92" s="54">
        <f>SUM(N88:N91)</f>
        <v>0.9962149740433911</v>
      </c>
      <c r="O92" s="55">
        <f t="shared" si="63"/>
        <v>0.87074446389649207</v>
      </c>
      <c r="P92" s="8">
        <f>SUM(P88:P91)</f>
        <v>0.87828718606950917</v>
      </c>
      <c r="Q92" s="8">
        <f t="shared" ref="Q92" si="64">SUM(Q88:Q91)</f>
        <v>0.76907461794237209</v>
      </c>
      <c r="T92"/>
      <c r="U92"/>
      <c r="V92"/>
      <c r="W92"/>
      <c r="X92"/>
    </row>
    <row r="93" spans="11:25" ht="14.4" x14ac:dyDescent="0.3">
      <c r="T93"/>
      <c r="U93"/>
      <c r="V93"/>
      <c r="W93"/>
      <c r="X93"/>
    </row>
    <row r="94" spans="11:25" ht="15" thickBot="1" x14ac:dyDescent="0.35">
      <c r="K94" s="2" t="s">
        <v>38</v>
      </c>
      <c r="L94" s="101" t="s">
        <v>109</v>
      </c>
      <c r="M94" s="101"/>
      <c r="N94" s="101" t="s">
        <v>86</v>
      </c>
      <c r="O94" s="101"/>
      <c r="P94" s="101" t="s">
        <v>110</v>
      </c>
      <c r="Q94" s="101"/>
      <c r="T94"/>
      <c r="U94"/>
      <c r="V94"/>
      <c r="W94"/>
      <c r="X94"/>
    </row>
    <row r="95" spans="11:25" ht="14.4" x14ac:dyDescent="0.3">
      <c r="N95" s="42"/>
      <c r="O95" s="43"/>
      <c r="T95"/>
      <c r="U95"/>
      <c r="V95"/>
      <c r="W95"/>
      <c r="X95"/>
    </row>
    <row r="96" spans="11:25" ht="14.4" x14ac:dyDescent="0.3">
      <c r="N96" s="44"/>
      <c r="O96" s="45"/>
      <c r="T96"/>
      <c r="U96"/>
      <c r="V96"/>
      <c r="W96"/>
      <c r="X96"/>
    </row>
    <row r="97" spans="9:24" ht="14.4" x14ac:dyDescent="0.3">
      <c r="L97" s="78" t="s">
        <v>4</v>
      </c>
      <c r="M97" s="80" t="s">
        <v>5</v>
      </c>
      <c r="N97" s="79" t="s">
        <v>4</v>
      </c>
      <c r="O97" s="80" t="s">
        <v>5</v>
      </c>
      <c r="P97" s="78" t="s">
        <v>4</v>
      </c>
      <c r="Q97" s="78" t="s">
        <v>5</v>
      </c>
      <c r="T97"/>
      <c r="U97"/>
      <c r="V97"/>
      <c r="W97"/>
      <c r="X97"/>
    </row>
    <row r="98" spans="9:24" ht="14.4" x14ac:dyDescent="0.3">
      <c r="K98" s="1" t="s">
        <v>32</v>
      </c>
      <c r="L98" s="8">
        <f t="shared" ref="L98:Q98" si="65">SUM(C6:C11,C15:C16)</f>
        <v>0.30781056162113329</v>
      </c>
      <c r="M98" s="8">
        <f t="shared" si="65"/>
        <v>0.26870021594977206</v>
      </c>
      <c r="N98" s="46">
        <f t="shared" si="65"/>
        <v>0.27884035894554221</v>
      </c>
      <c r="O98" s="47">
        <f t="shared" si="65"/>
        <v>0.20338667378516839</v>
      </c>
      <c r="P98" s="8">
        <f t="shared" si="65"/>
        <v>0.2655022771888903</v>
      </c>
      <c r="Q98" s="8">
        <f t="shared" si="65"/>
        <v>0.19366394300501369</v>
      </c>
      <c r="T98"/>
      <c r="U98"/>
      <c r="V98"/>
      <c r="W98"/>
      <c r="X98"/>
    </row>
    <row r="99" spans="9:24" ht="14.4" x14ac:dyDescent="0.3">
      <c r="K99" s="1" t="s">
        <v>33</v>
      </c>
      <c r="L99" s="8">
        <f t="shared" ref="L99:Q99" si="66">SUM(C23:C28,C32:C33)</f>
        <v>0.1939653631234402</v>
      </c>
      <c r="M99" s="8">
        <f t="shared" si="66"/>
        <v>0.17267734684369354</v>
      </c>
      <c r="N99" s="46">
        <f t="shared" si="66"/>
        <v>0.13794846549184767</v>
      </c>
      <c r="O99" s="47">
        <f t="shared" si="66"/>
        <v>0.11670254026021944</v>
      </c>
      <c r="P99" s="8">
        <f t="shared" si="66"/>
        <v>0.14498135586810673</v>
      </c>
      <c r="Q99" s="8">
        <f t="shared" si="66"/>
        <v>0.12364753898043174</v>
      </c>
      <c r="T99"/>
      <c r="U99"/>
      <c r="V99"/>
      <c r="W99"/>
      <c r="X99"/>
    </row>
    <row r="100" spans="9:24" ht="14.4" x14ac:dyDescent="0.3">
      <c r="K100" s="1" t="s">
        <v>34</v>
      </c>
      <c r="L100" s="8">
        <f t="shared" ref="L100:Q100" si="67">SUM(C42:C49,C53:C54)</f>
        <v>0.32166643011751839</v>
      </c>
      <c r="M100" s="8">
        <f t="shared" si="67"/>
        <v>0.24673193044811012</v>
      </c>
      <c r="N100" s="46">
        <f t="shared" si="67"/>
        <v>0.28192516825241737</v>
      </c>
      <c r="O100" s="47">
        <f t="shared" si="67"/>
        <v>0.21698371933150445</v>
      </c>
      <c r="P100" s="8">
        <f t="shared" si="67"/>
        <v>0.20001498995018888</v>
      </c>
      <c r="Q100" s="8">
        <f t="shared" si="67"/>
        <v>0.15477802036829982</v>
      </c>
      <c r="T100"/>
      <c r="U100"/>
      <c r="V100"/>
      <c r="W100"/>
      <c r="X100"/>
    </row>
    <row r="101" spans="9:24" ht="14.4" x14ac:dyDescent="0.3">
      <c r="K101" s="1" t="s">
        <v>35</v>
      </c>
      <c r="L101" s="10">
        <v>0</v>
      </c>
      <c r="M101" s="10">
        <f>M91</f>
        <v>0.05</v>
      </c>
      <c r="N101" s="48">
        <v>0</v>
      </c>
      <c r="O101" s="49">
        <f>O91</f>
        <v>0.04</v>
      </c>
      <c r="P101" s="10">
        <v>0</v>
      </c>
      <c r="Q101" s="10">
        <f>Q91</f>
        <v>0.04</v>
      </c>
      <c r="T101"/>
      <c r="U101"/>
      <c r="V101"/>
      <c r="W101"/>
      <c r="X101"/>
    </row>
    <row r="102" spans="9:24" ht="14.4" x14ac:dyDescent="0.3">
      <c r="L102" s="8">
        <f t="shared" ref="L102:Q102" si="68">SUM(L98:L101)</f>
        <v>0.82344235486209183</v>
      </c>
      <c r="M102" s="8">
        <f t="shared" si="68"/>
        <v>0.73810949324157582</v>
      </c>
      <c r="N102" s="46">
        <f t="shared" si="68"/>
        <v>0.69871399268980716</v>
      </c>
      <c r="O102" s="47">
        <f t="shared" si="68"/>
        <v>0.57707293337689225</v>
      </c>
      <c r="P102" s="8">
        <f t="shared" si="68"/>
        <v>0.61049862300718594</v>
      </c>
      <c r="Q102" s="8">
        <f t="shared" si="68"/>
        <v>0.51208950235374529</v>
      </c>
      <c r="T102"/>
      <c r="U102"/>
      <c r="V102"/>
      <c r="W102"/>
      <c r="X102"/>
    </row>
    <row r="103" spans="9:24" ht="14.4" x14ac:dyDescent="0.3">
      <c r="T103"/>
      <c r="U103"/>
      <c r="V103"/>
      <c r="W103"/>
      <c r="X103"/>
    </row>
    <row r="104" spans="9:24" ht="14.4" x14ac:dyDescent="0.3">
      <c r="K104"/>
      <c r="L104"/>
      <c r="M104"/>
      <c r="N104"/>
      <c r="O104"/>
      <c r="P104"/>
      <c r="Q104"/>
      <c r="T104"/>
      <c r="U104"/>
      <c r="V104"/>
      <c r="W104"/>
      <c r="X104"/>
    </row>
    <row r="105" spans="9:24" ht="14.4" x14ac:dyDescent="0.3">
      <c r="I105"/>
      <c r="J105"/>
      <c r="K105"/>
      <c r="L105"/>
      <c r="M105"/>
      <c r="N105"/>
      <c r="O105"/>
      <c r="P105"/>
      <c r="Q105"/>
      <c r="T105"/>
      <c r="U105"/>
      <c r="V105"/>
      <c r="W105"/>
      <c r="X105"/>
    </row>
    <row r="106" spans="9:24" ht="14.4" x14ac:dyDescent="0.3">
      <c r="I106"/>
      <c r="J106"/>
      <c r="K106"/>
      <c r="L106"/>
      <c r="M106"/>
      <c r="N106"/>
      <c r="O106"/>
      <c r="P106"/>
      <c r="Q106"/>
      <c r="T106"/>
      <c r="U106"/>
      <c r="V106"/>
      <c r="W106"/>
      <c r="X106"/>
    </row>
    <row r="107" spans="9:24" ht="14.4" x14ac:dyDescent="0.3">
      <c r="I107"/>
      <c r="J107"/>
      <c r="T107"/>
      <c r="U107"/>
      <c r="V107"/>
      <c r="W107"/>
      <c r="X107"/>
    </row>
    <row r="108" spans="9:24" ht="14.4" x14ac:dyDescent="0.3">
      <c r="I108"/>
      <c r="J108"/>
      <c r="T108"/>
      <c r="U108"/>
      <c r="V108"/>
      <c r="W108"/>
      <c r="X108"/>
    </row>
    <row r="109" spans="9:24" ht="14.4" x14ac:dyDescent="0.3">
      <c r="I109"/>
      <c r="J109"/>
      <c r="R109"/>
      <c r="S109"/>
      <c r="T109"/>
      <c r="U109"/>
      <c r="V109"/>
      <c r="W109"/>
      <c r="X109"/>
    </row>
    <row r="110" spans="9:24" ht="14.4" x14ac:dyDescent="0.3"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spans="9:24" ht="14.4" x14ac:dyDescent="0.3"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spans="9:24" ht="14.4" x14ac:dyDescent="0.3"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spans="9:24" ht="14.4" x14ac:dyDescent="0.3"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spans="9:24" ht="14.4" x14ac:dyDescent="0.3"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spans="9:24" ht="14.4" x14ac:dyDescent="0.3"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spans="9:24" ht="14.4" x14ac:dyDescent="0.3"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9:24" ht="14.4" x14ac:dyDescent="0.3"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9:24" ht="14.4" x14ac:dyDescent="0.3"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spans="9:24" ht="14.4" x14ac:dyDescent="0.3"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9:24" ht="14.4" x14ac:dyDescent="0.3"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9:24" ht="14.4" x14ac:dyDescent="0.3"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9:24" ht="14.4" x14ac:dyDescent="0.3"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9:24" ht="14.4" x14ac:dyDescent="0.3"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9:24" ht="14.4" x14ac:dyDescent="0.3"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9:24" ht="14.4" x14ac:dyDescent="0.3"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9:24" ht="14.4" x14ac:dyDescent="0.3"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9:24" ht="14.4" x14ac:dyDescent="0.3"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spans="9:24" ht="14.4" x14ac:dyDescent="0.3"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spans="9:24" ht="14.4" x14ac:dyDescent="0.3"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spans="9:24" ht="14.4" x14ac:dyDescent="0.3"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spans="9:24" ht="14.4" x14ac:dyDescent="0.3"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spans="9:24" ht="14.4" x14ac:dyDescent="0.3"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spans="9:24" ht="14.4" x14ac:dyDescent="0.3"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spans="9:24" ht="14.4" x14ac:dyDescent="0.3">
      <c r="K134"/>
      <c r="L134"/>
      <c r="M134"/>
      <c r="N134"/>
      <c r="O134"/>
      <c r="P134"/>
      <c r="Q134"/>
      <c r="T134"/>
      <c r="U134"/>
      <c r="V134"/>
      <c r="W134"/>
      <c r="X134"/>
    </row>
    <row r="135" spans="9:24" ht="14.4" x14ac:dyDescent="0.3">
      <c r="T135"/>
      <c r="U135"/>
      <c r="V135"/>
      <c r="W135"/>
      <c r="X135"/>
    </row>
    <row r="136" spans="9:24" ht="14.4" x14ac:dyDescent="0.3">
      <c r="T136"/>
      <c r="U136"/>
      <c r="V136"/>
      <c r="W136"/>
      <c r="X136"/>
    </row>
    <row r="137" spans="9:24" ht="14.4" x14ac:dyDescent="0.3">
      <c r="T137"/>
      <c r="U137"/>
      <c r="V137"/>
      <c r="W137"/>
      <c r="X137"/>
    </row>
    <row r="138" spans="9:24" ht="14.4" x14ac:dyDescent="0.3">
      <c r="T138"/>
      <c r="U138"/>
      <c r="V138"/>
      <c r="W138"/>
      <c r="X138"/>
    </row>
    <row r="139" spans="9:24" ht="14.4" x14ac:dyDescent="0.3">
      <c r="T139"/>
      <c r="U139"/>
      <c r="V139"/>
      <c r="W139"/>
      <c r="X139"/>
    </row>
    <row r="140" spans="9:24" ht="14.4" x14ac:dyDescent="0.3">
      <c r="T140"/>
      <c r="U140"/>
      <c r="V140"/>
      <c r="W140"/>
      <c r="X140"/>
    </row>
    <row r="141" spans="9:24" ht="14.4" x14ac:dyDescent="0.3">
      <c r="T141"/>
      <c r="U141"/>
      <c r="V141"/>
      <c r="W141"/>
      <c r="X141"/>
    </row>
    <row r="142" spans="9:24" ht="14.4" x14ac:dyDescent="0.3">
      <c r="T142"/>
      <c r="U142"/>
      <c r="V142"/>
      <c r="W142"/>
      <c r="X142"/>
    </row>
    <row r="143" spans="9:24" ht="14.4" x14ac:dyDescent="0.3">
      <c r="T143"/>
      <c r="U143"/>
      <c r="V143"/>
      <c r="W143"/>
      <c r="X143"/>
    </row>
    <row r="144" spans="9:24" ht="14.4" x14ac:dyDescent="0.3">
      <c r="T144"/>
      <c r="U144"/>
      <c r="V144"/>
      <c r="W144"/>
      <c r="X144"/>
    </row>
    <row r="145" spans="20:24" ht="14.4" x14ac:dyDescent="0.3">
      <c r="T145"/>
      <c r="U145"/>
      <c r="V145"/>
      <c r="W145"/>
      <c r="X145"/>
    </row>
    <row r="146" spans="20:24" ht="14.4" x14ac:dyDescent="0.3">
      <c r="T146"/>
      <c r="U146"/>
      <c r="V146"/>
      <c r="W146"/>
      <c r="X146"/>
    </row>
    <row r="147" spans="20:24" ht="14.4" x14ac:dyDescent="0.3">
      <c r="T147"/>
      <c r="U147"/>
      <c r="V147"/>
      <c r="W147"/>
      <c r="X147"/>
    </row>
    <row r="148" spans="20:24" ht="14.4" x14ac:dyDescent="0.3">
      <c r="T148"/>
      <c r="U148"/>
      <c r="V148"/>
      <c r="W148"/>
      <c r="X148"/>
    </row>
    <row r="149" spans="20:24" ht="14.4" x14ac:dyDescent="0.3">
      <c r="T149"/>
      <c r="U149"/>
      <c r="V149"/>
      <c r="W149"/>
      <c r="X149"/>
    </row>
    <row r="150" spans="20:24" ht="14.4" x14ac:dyDescent="0.3">
      <c r="T150"/>
      <c r="U150"/>
      <c r="V150"/>
      <c r="W150"/>
      <c r="X150"/>
    </row>
    <row r="151" spans="20:24" ht="14.4" x14ac:dyDescent="0.3">
      <c r="T151"/>
      <c r="U151"/>
      <c r="V151"/>
      <c r="W151"/>
      <c r="X151"/>
    </row>
    <row r="152" spans="20:24" ht="14.4" x14ac:dyDescent="0.3">
      <c r="T152"/>
      <c r="U152"/>
      <c r="V152"/>
      <c r="W152"/>
      <c r="X152"/>
    </row>
    <row r="153" spans="20:24" ht="14.4" x14ac:dyDescent="0.3">
      <c r="T153"/>
      <c r="U153"/>
      <c r="V153"/>
      <c r="W153"/>
      <c r="X153"/>
    </row>
    <row r="154" spans="20:24" ht="14.4" x14ac:dyDescent="0.3">
      <c r="T154"/>
      <c r="U154"/>
      <c r="V154"/>
      <c r="W154"/>
      <c r="X154"/>
    </row>
    <row r="155" spans="20:24" ht="14.4" x14ac:dyDescent="0.3">
      <c r="T155"/>
      <c r="U155"/>
      <c r="V155"/>
      <c r="W155"/>
      <c r="X155"/>
    </row>
    <row r="156" spans="20:24" ht="14.4" x14ac:dyDescent="0.3">
      <c r="T156"/>
      <c r="U156"/>
      <c r="V156"/>
      <c r="W156"/>
      <c r="X156"/>
    </row>
    <row r="157" spans="20:24" ht="14.4" x14ac:dyDescent="0.3">
      <c r="T157"/>
      <c r="U157"/>
      <c r="V157"/>
      <c r="W157"/>
      <c r="X157"/>
    </row>
    <row r="158" spans="20:24" ht="14.4" x14ac:dyDescent="0.3">
      <c r="T158"/>
      <c r="U158"/>
      <c r="V158"/>
      <c r="W158"/>
      <c r="X158"/>
    </row>
    <row r="159" spans="20:24" ht="14.4" x14ac:dyDescent="0.3">
      <c r="T159"/>
      <c r="U159"/>
      <c r="V159"/>
      <c r="W159"/>
      <c r="X159"/>
    </row>
    <row r="160" spans="20:24" ht="14.4" x14ac:dyDescent="0.3">
      <c r="T160"/>
      <c r="U160"/>
      <c r="V160"/>
      <c r="W160"/>
      <c r="X160"/>
    </row>
    <row r="161" spans="20:24" ht="14.4" x14ac:dyDescent="0.3">
      <c r="T161"/>
      <c r="U161"/>
      <c r="V161"/>
      <c r="W161"/>
      <c r="X161"/>
    </row>
    <row r="162" spans="20:24" ht="14.4" x14ac:dyDescent="0.3">
      <c r="T162"/>
      <c r="U162"/>
      <c r="V162"/>
      <c r="W162"/>
      <c r="X162"/>
    </row>
    <row r="163" spans="20:24" ht="14.4" x14ac:dyDescent="0.3">
      <c r="T163"/>
      <c r="U163"/>
      <c r="V163"/>
      <c r="W163"/>
      <c r="X163"/>
    </row>
    <row r="164" spans="20:24" ht="14.4" x14ac:dyDescent="0.3">
      <c r="T164"/>
      <c r="U164"/>
      <c r="V164"/>
      <c r="W164"/>
      <c r="X164"/>
    </row>
    <row r="165" spans="20:24" ht="14.4" x14ac:dyDescent="0.3">
      <c r="T165"/>
      <c r="U165"/>
      <c r="V165"/>
      <c r="W165"/>
      <c r="X165"/>
    </row>
    <row r="166" spans="20:24" ht="14.4" x14ac:dyDescent="0.3">
      <c r="T166"/>
      <c r="U166"/>
      <c r="V166"/>
      <c r="W166"/>
      <c r="X166"/>
    </row>
    <row r="167" spans="20:24" ht="14.4" x14ac:dyDescent="0.3">
      <c r="T167"/>
      <c r="U167"/>
      <c r="V167"/>
      <c r="W167"/>
      <c r="X167"/>
    </row>
    <row r="168" spans="20:24" ht="14.4" x14ac:dyDescent="0.3">
      <c r="T168"/>
      <c r="U168"/>
      <c r="V168"/>
      <c r="W168"/>
      <c r="X168"/>
    </row>
    <row r="169" spans="20:24" ht="14.4" x14ac:dyDescent="0.3">
      <c r="T169"/>
      <c r="U169"/>
      <c r="V169"/>
      <c r="W169"/>
      <c r="X169"/>
    </row>
    <row r="170" spans="20:24" ht="14.4" x14ac:dyDescent="0.3">
      <c r="T170"/>
      <c r="U170"/>
      <c r="V170"/>
      <c r="W170"/>
      <c r="X170"/>
    </row>
    <row r="171" spans="20:24" ht="14.4" x14ac:dyDescent="0.3">
      <c r="T171"/>
      <c r="U171"/>
      <c r="V171"/>
      <c r="W171"/>
      <c r="X171"/>
    </row>
    <row r="172" spans="20:24" ht="14.4" x14ac:dyDescent="0.3">
      <c r="T172"/>
      <c r="U172"/>
      <c r="V172"/>
      <c r="W172"/>
      <c r="X172"/>
    </row>
    <row r="173" spans="20:24" ht="14.4" x14ac:dyDescent="0.3">
      <c r="T173"/>
      <c r="U173"/>
      <c r="V173"/>
      <c r="W173"/>
      <c r="X173"/>
    </row>
    <row r="174" spans="20:24" ht="14.4" x14ac:dyDescent="0.3">
      <c r="T174"/>
      <c r="U174"/>
      <c r="V174"/>
      <c r="W174"/>
      <c r="X174"/>
    </row>
    <row r="175" spans="20:24" ht="14.4" x14ac:dyDescent="0.3">
      <c r="T175"/>
      <c r="U175"/>
      <c r="V175"/>
      <c r="W175"/>
      <c r="X175"/>
    </row>
    <row r="176" spans="20:24" ht="14.4" x14ac:dyDescent="0.3">
      <c r="U176"/>
      <c r="V176"/>
      <c r="W176"/>
      <c r="X176"/>
    </row>
    <row r="177" spans="21:24" ht="14.4" x14ac:dyDescent="0.3">
      <c r="U177"/>
      <c r="V177"/>
      <c r="W177"/>
      <c r="X177"/>
    </row>
    <row r="178" spans="21:24" ht="14.4" x14ac:dyDescent="0.3">
      <c r="U178"/>
      <c r="V178"/>
      <c r="W178"/>
      <c r="X178"/>
    </row>
  </sheetData>
  <mergeCells count="30">
    <mergeCell ref="P3:Q3"/>
    <mergeCell ref="L27:M27"/>
    <mergeCell ref="N27:O27"/>
    <mergeCell ref="P27:Q27"/>
    <mergeCell ref="C3:D3"/>
    <mergeCell ref="E3:F3"/>
    <mergeCell ref="G3:H3"/>
    <mergeCell ref="C20:D20"/>
    <mergeCell ref="E20:F20"/>
    <mergeCell ref="G20:H20"/>
    <mergeCell ref="C39:D39"/>
    <mergeCell ref="E39:F39"/>
    <mergeCell ref="G39:H39"/>
    <mergeCell ref="L3:M3"/>
    <mergeCell ref="N3:O3"/>
    <mergeCell ref="L48:M48"/>
    <mergeCell ref="N48:O48"/>
    <mergeCell ref="P48:Q48"/>
    <mergeCell ref="L62:M62"/>
    <mergeCell ref="N62:O62"/>
    <mergeCell ref="P62:Q62"/>
    <mergeCell ref="L94:M94"/>
    <mergeCell ref="N94:O94"/>
    <mergeCell ref="P94:Q94"/>
    <mergeCell ref="L76:M76"/>
    <mergeCell ref="N76:O76"/>
    <mergeCell ref="P76:Q76"/>
    <mergeCell ref="L84:M84"/>
    <mergeCell ref="N84:O84"/>
    <mergeCell ref="P84:Q8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5"/>
  <sheetViews>
    <sheetView workbookViewId="0"/>
  </sheetViews>
  <sheetFormatPr defaultColWidth="9.109375" defaultRowHeight="13.8" x14ac:dyDescent="0.25"/>
  <cols>
    <col min="1" max="1" width="9.109375" style="1" customWidth="1"/>
    <col min="2" max="16384" width="9.109375" style="1"/>
  </cols>
  <sheetData>
    <row r="3" spans="1:12" x14ac:dyDescent="0.25">
      <c r="D3" s="1" t="s">
        <v>83</v>
      </c>
      <c r="F3" s="1" t="s">
        <v>84</v>
      </c>
      <c r="H3" s="1" t="s">
        <v>85</v>
      </c>
      <c r="J3" s="1" t="s">
        <v>86</v>
      </c>
    </row>
    <row r="4" spans="1:12" x14ac:dyDescent="0.25">
      <c r="C4" s="1" t="s">
        <v>89</v>
      </c>
      <c r="D4" s="16"/>
      <c r="E4" s="16">
        <v>35</v>
      </c>
      <c r="F4" s="16"/>
      <c r="G4" s="16">
        <v>32</v>
      </c>
      <c r="H4" s="16"/>
      <c r="I4" s="16">
        <v>30</v>
      </c>
      <c r="J4" s="16"/>
      <c r="K4" s="16">
        <v>26</v>
      </c>
    </row>
    <row r="5" spans="1:12" x14ac:dyDescent="0.25">
      <c r="C5" s="1" t="s">
        <v>87</v>
      </c>
      <c r="D5" s="3">
        <f>'Reported Yingli costs'!D7</f>
        <v>0.86999999999999988</v>
      </c>
      <c r="F5" s="3">
        <f>'Reported Yingli costs'!E7</f>
        <v>0.77</v>
      </c>
      <c r="H5" s="3">
        <f>'Reported Yingli costs'!F7</f>
        <v>0.70000000000000007</v>
      </c>
      <c r="J5" s="3">
        <f>'Reported Yingli costs'!G7</f>
        <v>0.63</v>
      </c>
      <c r="L5" s="3"/>
    </row>
    <row r="7" spans="1:12" x14ac:dyDescent="0.25">
      <c r="D7" s="1" t="s">
        <v>83</v>
      </c>
      <c r="F7" s="1" t="s">
        <v>84</v>
      </c>
      <c r="H7" s="1" t="s">
        <v>85</v>
      </c>
      <c r="J7" s="1" t="s">
        <v>86</v>
      </c>
    </row>
    <row r="8" spans="1:12" x14ac:dyDescent="0.25">
      <c r="D8" s="1" t="s">
        <v>36</v>
      </c>
      <c r="E8" s="1" t="s">
        <v>88</v>
      </c>
      <c r="F8" s="1" t="s">
        <v>36</v>
      </c>
      <c r="G8" s="1" t="s">
        <v>88</v>
      </c>
      <c r="H8" s="1" t="s">
        <v>36</v>
      </c>
      <c r="I8" s="1" t="s">
        <v>88</v>
      </c>
      <c r="J8" s="1" t="s">
        <v>107</v>
      </c>
      <c r="K8" s="1" t="s">
        <v>106</v>
      </c>
    </row>
    <row r="9" spans="1:12" x14ac:dyDescent="0.25">
      <c r="A9" s="3"/>
      <c r="B9" s="3"/>
      <c r="C9" s="1" t="s">
        <v>87</v>
      </c>
      <c r="D9" s="3">
        <f>'Reported Yingli costs'!D17</f>
        <v>0.87611608791550821</v>
      </c>
      <c r="E9" s="3">
        <v>0.67318675935425398</v>
      </c>
      <c r="F9" s="3">
        <f>'Reported Yingli costs'!E17</f>
        <v>0.77055071682750553</v>
      </c>
      <c r="G9" s="3">
        <v>0.65797251456153205</v>
      </c>
      <c r="H9" s="3">
        <f>'Reported Yingli costs'!F17</f>
        <v>0.86339916687180451</v>
      </c>
      <c r="I9" s="3">
        <v>0.64782968469971736</v>
      </c>
      <c r="J9" s="3">
        <f>'Reported Yingli costs'!G17</f>
        <v>0.6727806536393548</v>
      </c>
      <c r="K9" s="3">
        <v>0.62754402497608808</v>
      </c>
    </row>
    <row r="10" spans="1:12" x14ac:dyDescent="0.25">
      <c r="C10" s="1" t="s">
        <v>69</v>
      </c>
      <c r="D10" s="3">
        <f>'Reported Yingli costs'!D22</f>
        <v>0.11583976333566104</v>
      </c>
      <c r="F10" s="3">
        <f>'Reported Yingli costs'!E22</f>
        <v>0.12445352190904009</v>
      </c>
      <c r="H10" s="3">
        <f>'Reported Yingli costs'!F22</f>
        <v>0.13701268451408377</v>
      </c>
      <c r="J10" s="3">
        <f>'Reported Yingli costs'!G22</f>
        <v>0.20473205821082838</v>
      </c>
    </row>
    <row r="11" spans="1:12" x14ac:dyDescent="0.25">
      <c r="C11" s="1" t="s">
        <v>108</v>
      </c>
      <c r="D11" s="3">
        <f>'Reported Yingli costs'!D23</f>
        <v>6.1712729143915686E-2</v>
      </c>
      <c r="F11" s="3">
        <f>'Reported Yingli costs'!E23</f>
        <v>6.0955241837026525E-2</v>
      </c>
      <c r="H11" s="3">
        <f>'Reported Yingli costs'!F23</f>
        <v>8.2774136528114883E-2</v>
      </c>
      <c r="J11" s="3">
        <f>'Reported Yingli costs'!G23</f>
        <v>4.8568926423545974E-2</v>
      </c>
    </row>
    <row r="12" spans="1:12" x14ac:dyDescent="0.25">
      <c r="A12" s="3"/>
      <c r="B12" s="3"/>
      <c r="C12" s="1" t="s">
        <v>105</v>
      </c>
      <c r="E12" s="3">
        <v>0.180886020529064</v>
      </c>
      <c r="G12" s="3">
        <v>0.180886020529064</v>
      </c>
      <c r="I12" s="3">
        <v>0.180886020529064</v>
      </c>
      <c r="K12" s="3">
        <v>0.180886020529064</v>
      </c>
    </row>
    <row r="13" spans="1:12" x14ac:dyDescent="0.25">
      <c r="A13" s="3"/>
      <c r="D13" s="3">
        <f>SUM(D9:D11)</f>
        <v>1.0536685803950849</v>
      </c>
      <c r="E13" s="3">
        <v>0.85407277988331798</v>
      </c>
      <c r="F13" s="3">
        <f>SUM(F9:F11)</f>
        <v>0.95595948057357216</v>
      </c>
      <c r="G13" s="3">
        <v>0.83885853509059605</v>
      </c>
      <c r="H13" s="3">
        <f>SUM(H9:H11)</f>
        <v>1.0831859879140031</v>
      </c>
      <c r="I13" s="3">
        <v>0.82871570522878135</v>
      </c>
      <c r="J13" s="3">
        <f>SUM(J9:J11)</f>
        <v>0.92608163827372914</v>
      </c>
      <c r="K13" s="3">
        <v>0.80843004550515207</v>
      </c>
    </row>
    <row r="15" spans="1:12" x14ac:dyDescent="0.25">
      <c r="D15" s="9"/>
      <c r="E15" s="9"/>
      <c r="F15" s="9"/>
      <c r="G15" s="9"/>
      <c r="H15" s="9"/>
      <c r="I15" s="9"/>
      <c r="J15" s="9"/>
      <c r="K15" s="9"/>
      <c r="L15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Reported Yingli costs</vt:lpstr>
      <vt:lpstr>Model results</vt:lpstr>
      <vt:lpstr>Reported China NREL model comp</vt:lpstr>
      <vt:lpstr>Validation chart</vt:lpstr>
    </vt:vector>
  </TitlesOfParts>
  <Company>NREL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C Goodrich</dc:creator>
  <cp:lastModifiedBy>Doug Powell</cp:lastModifiedBy>
  <dcterms:created xsi:type="dcterms:W3CDTF">2013-01-12T23:14:05Z</dcterms:created>
  <dcterms:modified xsi:type="dcterms:W3CDTF">2013-08-16T21:48:13Z</dcterms:modified>
</cp:coreProperties>
</file>