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5315" windowHeight="12240"/>
  </bookViews>
  <sheets>
    <sheet name="calculator" sheetId="2" r:id="rId1"/>
  </sheets>
  <definedNames>
    <definedName name="KnownX" localSheetId="0">calculator!$B$9:$B$85</definedName>
    <definedName name="KnownX">#REF!</definedName>
    <definedName name="KnownY" localSheetId="0">calculator!$C$9:$C$85</definedName>
    <definedName name="KnownY">#REF!</definedName>
  </definedNames>
  <calcPr calcId="145621"/>
</workbook>
</file>

<file path=xl/calcChain.xml><?xml version="1.0" encoding="utf-8"?>
<calcChain xmlns="http://schemas.openxmlformats.org/spreadsheetml/2006/main">
  <c r="H15" i="2" l="1"/>
  <c r="H14" i="2"/>
  <c r="H13" i="2"/>
  <c r="B2" i="2" l="1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H45" i="2" s="1"/>
  <c r="G46" i="2"/>
  <c r="G47" i="2"/>
  <c r="G48" i="2"/>
  <c r="G49" i="2"/>
  <c r="G50" i="2"/>
  <c r="G51" i="2"/>
  <c r="G52" i="2"/>
  <c r="H24" i="2"/>
  <c r="H16" i="2"/>
  <c r="H17" i="2"/>
  <c r="H18" i="2"/>
  <c r="H19" i="2"/>
  <c r="H20" i="2"/>
  <c r="H21" i="2"/>
  <c r="H22" i="2"/>
  <c r="H23" i="2"/>
  <c r="H9" i="2" l="1"/>
  <c r="H11" i="2"/>
  <c r="H10" i="2"/>
  <c r="G12" i="2"/>
  <c r="H12" i="2" s="1"/>
  <c r="J30" i="2"/>
  <c r="J34" i="2"/>
  <c r="J38" i="2"/>
  <c r="J42" i="2"/>
  <c r="J46" i="2"/>
  <c r="J50" i="2"/>
  <c r="J31" i="2"/>
  <c r="J35" i="2"/>
  <c r="J39" i="2"/>
  <c r="J43" i="2"/>
  <c r="J47" i="2"/>
  <c r="J51" i="2"/>
  <c r="J32" i="2"/>
  <c r="J36" i="2"/>
  <c r="J40" i="2"/>
  <c r="J44" i="2"/>
  <c r="J48" i="2"/>
  <c r="J52" i="2"/>
  <c r="J29" i="2"/>
  <c r="J33" i="2"/>
  <c r="J37" i="2"/>
  <c r="J41" i="2"/>
  <c r="J45" i="2"/>
  <c r="J49" i="2"/>
  <c r="H26" i="2"/>
  <c r="H38" i="2"/>
  <c r="H51" i="2"/>
  <c r="H44" i="2"/>
  <c r="H48" i="2"/>
  <c r="H39" i="2"/>
  <c r="H40" i="2"/>
  <c r="H36" i="2"/>
  <c r="H52" i="2"/>
  <c r="J2" i="2" s="1"/>
  <c r="H50" i="2"/>
  <c r="H28" i="2"/>
  <c r="H42" i="2"/>
  <c r="H43" i="2"/>
  <c r="H32" i="2"/>
  <c r="H41" i="2"/>
  <c r="H31" i="2"/>
  <c r="H27" i="2"/>
  <c r="H29" i="2"/>
  <c r="H46" i="2"/>
  <c r="H49" i="2"/>
  <c r="H34" i="2"/>
  <c r="H37" i="2"/>
  <c r="H33" i="2"/>
  <c r="H30" i="2"/>
  <c r="H35" i="2"/>
  <c r="H47" i="2"/>
  <c r="H25" i="2"/>
  <c r="J9" i="2" l="1"/>
  <c r="I9" i="2"/>
  <c r="I12" i="2" l="1"/>
  <c r="I16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J4" i="2" l="1"/>
</calcChain>
</file>

<file path=xl/sharedStrings.xml><?xml version="1.0" encoding="utf-8"?>
<sst xmlns="http://schemas.openxmlformats.org/spreadsheetml/2006/main" count="17" uniqueCount="16">
  <si>
    <t>cc/g</t>
  </si>
  <si>
    <t>Pore size (nm)</t>
  </si>
  <si>
    <t>mg/g</t>
  </si>
  <si>
    <t>Measured data</t>
  </si>
  <si>
    <t>Instructions</t>
  </si>
  <si>
    <t>Carefully inspect if the interpolated / extrapolated values are reasonable when comparing with the measured data</t>
  </si>
  <si>
    <t>Literature</t>
  </si>
  <si>
    <t>Porada et al. EES, 2013</t>
  </si>
  <si>
    <t xml:space="preserve">               Calculated data</t>
  </si>
  <si>
    <t>Cutoff size (nm)</t>
  </si>
  <si>
    <t>(*) per gram of all porous carbon in both electrodes combines</t>
  </si>
  <si>
    <t>Paste data with "insert data" into the "measured data" section, without any formatting</t>
  </si>
  <si>
    <t>Capacity (mg/g)</t>
  </si>
  <si>
    <t>ζ (M)</t>
  </si>
  <si>
    <t>Predicted NaCl adsorption @ 5 mM &amp; 1.2 V:</t>
  </si>
  <si>
    <t>Cumulative pore volume (cm³/g)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</si>
</sst>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0"/>
      <name val="Arial"/>
    </font>
    <font>
      <u/>
      <sz val="10"/>
      <color indexed="12"/>
      <name val="Arial"/>
      <family val="2"/>
      <charset val="238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i/>
      <sz val="11"/>
      <name val="Arial"/>
      <family val="2"/>
    </font>
    <font>
      <u/>
      <sz val="11"/>
      <color indexed="12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4"/>
      <name val="Arial"/>
      <family val="2"/>
    </font>
    <font>
      <b/>
      <sz val="11"/>
      <color rgb="FFFA7D00"/>
      <name val="Calibri"/>
      <family val="2"/>
      <scheme val="minor"/>
    </font>
    <font>
      <i/>
      <sz val="11"/>
      <name val="Arial"/>
      <family val="2"/>
      <charset val="238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2" fillId="7" borderId="12" applyNumberFormat="0" applyAlignment="0" applyProtection="0"/>
  </cellStyleXfs>
  <cellXfs count="82">
    <xf numFmtId="0" fontId="0" fillId="0" borderId="0" xfId="0"/>
    <xf numFmtId="164" fontId="2" fillId="3" borderId="10" xfId="0" applyNumberFormat="1" applyFont="1" applyFill="1" applyBorder="1" applyAlignment="1">
      <alignment horizontal="center" vertical="top" wrapText="1"/>
    </xf>
    <xf numFmtId="164" fontId="2" fillId="3" borderId="11" xfId="0" applyNumberFormat="1" applyFont="1" applyFill="1" applyBorder="1" applyAlignment="1">
      <alignment horizontal="center" vertical="center" wrapText="1"/>
    </xf>
    <xf numFmtId="164" fontId="4" fillId="3" borderId="6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164" fontId="4" fillId="3" borderId="8" xfId="0" applyNumberFormat="1" applyFont="1" applyFill="1" applyBorder="1" applyAlignment="1">
      <alignment horizontal="center"/>
    </xf>
    <xf numFmtId="164" fontId="3" fillId="6" borderId="0" xfId="0" applyNumberFormat="1" applyFont="1" applyFill="1"/>
    <xf numFmtId="164" fontId="4" fillId="6" borderId="0" xfId="0" applyNumberFormat="1" applyFont="1" applyFill="1"/>
    <xf numFmtId="0" fontId="4" fillId="6" borderId="0" xfId="0" applyFont="1" applyFill="1"/>
    <xf numFmtId="2" fontId="3" fillId="6" borderId="0" xfId="0" applyNumberFormat="1" applyFont="1" applyFill="1"/>
    <xf numFmtId="2" fontId="4" fillId="6" borderId="0" xfId="0" applyNumberFormat="1" applyFont="1" applyFill="1"/>
    <xf numFmtId="0" fontId="4" fillId="6" borderId="0" xfId="0" applyFont="1" applyFill="1" applyAlignment="1">
      <alignment horizontal="center"/>
    </xf>
    <xf numFmtId="0" fontId="2" fillId="6" borderId="0" xfId="0" applyFont="1" applyFill="1"/>
    <xf numFmtId="2" fontId="4" fillId="6" borderId="0" xfId="0" applyNumberFormat="1" applyFont="1" applyFill="1" applyBorder="1" applyAlignment="1">
      <alignment horizontal="center"/>
    </xf>
    <xf numFmtId="2" fontId="3" fillId="6" borderId="0" xfId="0" applyNumberFormat="1" applyFont="1" applyFill="1" applyBorder="1" applyAlignment="1">
      <alignment horizontal="center"/>
    </xf>
    <xf numFmtId="164" fontId="6" fillId="6" borderId="0" xfId="0" applyNumberFormat="1" applyFont="1" applyFill="1"/>
    <xf numFmtId="164" fontId="7" fillId="6" borderId="0" xfId="1" applyNumberFormat="1" applyFont="1" applyFill="1" applyAlignment="1" applyProtection="1"/>
    <xf numFmtId="164" fontId="6" fillId="2" borderId="9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/>
    </xf>
    <xf numFmtId="164" fontId="6" fillId="2" borderId="9" xfId="0" applyNumberFormat="1" applyFont="1" applyFill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horizontal="center"/>
    </xf>
    <xf numFmtId="0" fontId="8" fillId="6" borderId="0" xfId="0" applyFont="1" applyFill="1"/>
    <xf numFmtId="0" fontId="4" fillId="6" borderId="0" xfId="0" applyFont="1" applyFill="1" applyBorder="1" applyAlignment="1">
      <alignment horizontal="center"/>
    </xf>
    <xf numFmtId="0" fontId="0" fillId="6" borderId="0" xfId="0" applyFill="1" applyBorder="1"/>
    <xf numFmtId="0" fontId="13" fillId="6" borderId="0" xfId="0" applyFont="1" applyFill="1" applyBorder="1" applyAlignment="1">
      <alignment horizontal="center"/>
    </xf>
    <xf numFmtId="2" fontId="4" fillId="3" borderId="3" xfId="0" applyNumberFormat="1" applyFont="1" applyFill="1" applyBorder="1" applyAlignment="1">
      <alignment horizontal="center"/>
    </xf>
    <xf numFmtId="2" fontId="4" fillId="3" borderId="14" xfId="0" applyNumberFormat="1" applyFont="1" applyFill="1" applyBorder="1" applyAlignment="1">
      <alignment horizontal="center"/>
    </xf>
    <xf numFmtId="2" fontId="4" fillId="3" borderId="17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 vertical="center" wrapText="1"/>
    </xf>
    <xf numFmtId="164" fontId="2" fillId="9" borderId="10" xfId="2" applyNumberFormat="1" applyFont="1" applyFill="1" applyBorder="1" applyAlignment="1">
      <alignment horizontal="center" vertical="center" wrapText="1"/>
    </xf>
    <xf numFmtId="164" fontId="4" fillId="9" borderId="6" xfId="0" applyNumberFormat="1" applyFont="1" applyFill="1" applyBorder="1" applyAlignment="1">
      <alignment horizontal="center" vertical="center"/>
    </xf>
    <xf numFmtId="164" fontId="2" fillId="8" borderId="11" xfId="2" applyNumberFormat="1" applyFont="1" applyFill="1" applyBorder="1" applyAlignment="1">
      <alignment horizontal="center" vertical="center" wrapText="1"/>
    </xf>
    <xf numFmtId="2" fontId="4" fillId="8" borderId="17" xfId="0" applyNumberFormat="1" applyFont="1" applyFill="1" applyBorder="1" applyAlignment="1">
      <alignment horizontal="center" vertical="center"/>
    </xf>
    <xf numFmtId="2" fontId="4" fillId="8" borderId="0" xfId="0" applyNumberFormat="1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/>
    </xf>
    <xf numFmtId="164" fontId="4" fillId="9" borderId="18" xfId="0" applyNumberFormat="1" applyFont="1" applyFill="1" applyBorder="1" applyAlignment="1">
      <alignment horizontal="center" vertical="center"/>
    </xf>
    <xf numFmtId="164" fontId="4" fillId="9" borderId="8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/>
    </xf>
    <xf numFmtId="165" fontId="4" fillId="2" borderId="5" xfId="0" applyNumberFormat="1" applyFont="1" applyFill="1" applyBorder="1" applyAlignment="1">
      <alignment horizontal="center"/>
    </xf>
    <xf numFmtId="165" fontId="4" fillId="2" borderId="13" xfId="0" applyNumberFormat="1" applyFont="1" applyFill="1" applyBorder="1" applyAlignment="1">
      <alignment horizontal="center"/>
    </xf>
    <xf numFmtId="165" fontId="4" fillId="2" borderId="16" xfId="0" applyNumberFormat="1" applyFont="1" applyFill="1" applyBorder="1" applyAlignment="1">
      <alignment horizontal="center"/>
    </xf>
    <xf numFmtId="1" fontId="4" fillId="2" borderId="16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1" fontId="4" fillId="2" borderId="7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0" fontId="9" fillId="4" borderId="4" xfId="0" applyFont="1" applyFill="1" applyBorder="1" applyAlignment="1">
      <alignment horizontal="left" vertical="center"/>
    </xf>
    <xf numFmtId="0" fontId="11" fillId="4" borderId="6" xfId="0" applyFont="1" applyFill="1" applyBorder="1" applyAlignment="1">
      <alignment horizontal="left" vertical="center"/>
    </xf>
    <xf numFmtId="2" fontId="9" fillId="4" borderId="0" xfId="0" applyNumberFormat="1" applyFont="1" applyFill="1" applyBorder="1" applyAlignment="1">
      <alignment horizontal="right" vertical="center"/>
    </xf>
    <xf numFmtId="2" fontId="9" fillId="4" borderId="1" xfId="0" applyNumberFormat="1" applyFont="1" applyFill="1" applyBorder="1" applyAlignment="1">
      <alignment horizontal="right" vertical="center"/>
    </xf>
    <xf numFmtId="0" fontId="9" fillId="4" borderId="6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2" fontId="4" fillId="8" borderId="3" xfId="2" applyNumberFormat="1" applyFont="1" applyFill="1" applyBorder="1" applyAlignment="1">
      <alignment horizontal="center" vertical="center"/>
    </xf>
    <xf numFmtId="0" fontId="14" fillId="8" borderId="0" xfId="0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  <xf numFmtId="2" fontId="4" fillId="8" borderId="0" xfId="2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2" fontId="9" fillId="4" borderId="3" xfId="0" applyNumberFormat="1" applyFont="1" applyFill="1" applyBorder="1" applyAlignment="1">
      <alignment horizontal="right" vertical="center"/>
    </xf>
    <xf numFmtId="0" fontId="4" fillId="6" borderId="0" xfId="0" applyFont="1" applyFill="1" applyAlignment="1">
      <alignment wrapText="1"/>
    </xf>
    <xf numFmtId="0" fontId="0" fillId="0" borderId="0" xfId="0" applyAlignment="1">
      <alignment wrapText="1"/>
    </xf>
    <xf numFmtId="2" fontId="4" fillId="8" borderId="17" xfId="2" applyNumberFormat="1" applyFont="1" applyFill="1" applyBorder="1" applyAlignment="1">
      <alignment horizontal="center" vertical="center"/>
    </xf>
    <xf numFmtId="2" fontId="5" fillId="5" borderId="9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0" xfId="0" applyBorder="1" applyAlignment="1">
      <alignment vertical="center"/>
    </xf>
    <xf numFmtId="164" fontId="4" fillId="9" borderId="4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4" fillId="9" borderId="18" xfId="0" applyNumberFormat="1" applyFont="1" applyFill="1" applyBorder="1" applyAlignment="1">
      <alignment horizontal="center" vertical="center"/>
    </xf>
  </cellXfs>
  <cellStyles count="3">
    <cellStyle name="Berechnung" xfId="2" builtinId="22"/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12118634190226"/>
          <c:y val="8.0385852090032156E-2"/>
          <c:w val="0.5932337691077072"/>
          <c:h val="0.68577724802614126"/>
        </c:manualLayout>
      </c:layout>
      <c:scatterChart>
        <c:scatterStyle val="lineMarker"/>
        <c:varyColors val="0"/>
        <c:ser>
          <c:idx val="0"/>
          <c:order val="0"/>
          <c:tx>
            <c:v>Measured data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calculator!$B$9:$B$85</c:f>
              <c:numCache>
                <c:formatCode>0.000</c:formatCode>
                <c:ptCount val="77"/>
                <c:pt idx="0">
                  <c:v>0.61399999999999999</c:v>
                </c:pt>
                <c:pt idx="1">
                  <c:v>0.66600000000000004</c:v>
                </c:pt>
                <c:pt idx="2">
                  <c:v>0.72299999999999998</c:v>
                </c:pt>
                <c:pt idx="3">
                  <c:v>0.78500000000000003</c:v>
                </c:pt>
                <c:pt idx="4">
                  <c:v>0.85199999999999998</c:v>
                </c:pt>
                <c:pt idx="5">
                  <c:v>0.92600000000000005</c:v>
                </c:pt>
                <c:pt idx="6">
                  <c:v>1.0069999999999999</c:v>
                </c:pt>
                <c:pt idx="7">
                  <c:v>1.0960000000000001</c:v>
                </c:pt>
                <c:pt idx="8">
                  <c:v>1.1930000000000001</c:v>
                </c:pt>
                <c:pt idx="9">
                  <c:v>1.2989999999999999</c:v>
                </c:pt>
                <c:pt idx="10">
                  <c:v>1.4159999999999999</c:v>
                </c:pt>
                <c:pt idx="11">
                  <c:v>1.5429999999999999</c:v>
                </c:pt>
                <c:pt idx="12">
                  <c:v>1.6819999999999999</c:v>
                </c:pt>
                <c:pt idx="13">
                  <c:v>1.8340000000000001</c:v>
                </c:pt>
                <c:pt idx="14">
                  <c:v>2</c:v>
                </c:pt>
                <c:pt idx="15">
                  <c:v>2.1829999999999998</c:v>
                </c:pt>
                <c:pt idx="16">
                  <c:v>2.3820000000000001</c:v>
                </c:pt>
                <c:pt idx="17">
                  <c:v>2.6</c:v>
                </c:pt>
                <c:pt idx="18">
                  <c:v>2.8380000000000001</c:v>
                </c:pt>
                <c:pt idx="19">
                  <c:v>3.0990000000000002</c:v>
                </c:pt>
                <c:pt idx="20">
                  <c:v>3.3849999999999998</c:v>
                </c:pt>
                <c:pt idx="21">
                  <c:v>3.698</c:v>
                </c:pt>
                <c:pt idx="22">
                  <c:v>4.0389999999999997</c:v>
                </c:pt>
                <c:pt idx="23">
                  <c:v>4.4130000000000003</c:v>
                </c:pt>
                <c:pt idx="24">
                  <c:v>4.8230000000000004</c:v>
                </c:pt>
                <c:pt idx="25">
                  <c:v>5.27</c:v>
                </c:pt>
                <c:pt idx="26">
                  <c:v>5.76</c:v>
                </c:pt>
                <c:pt idx="27">
                  <c:v>6.2960000000000003</c:v>
                </c:pt>
                <c:pt idx="28">
                  <c:v>6.883</c:v>
                </c:pt>
                <c:pt idx="29">
                  <c:v>7.524</c:v>
                </c:pt>
                <c:pt idx="30">
                  <c:v>8.2270000000000003</c:v>
                </c:pt>
                <c:pt idx="31">
                  <c:v>8.9949999999999992</c:v>
                </c:pt>
                <c:pt idx="32">
                  <c:v>9.8350000000000009</c:v>
                </c:pt>
                <c:pt idx="33">
                  <c:v>10.755000000000001</c:v>
                </c:pt>
                <c:pt idx="34">
                  <c:v>11.760999999999999</c:v>
                </c:pt>
                <c:pt idx="35">
                  <c:v>12.861000000000001</c:v>
                </c:pt>
                <c:pt idx="36">
                  <c:v>14.066000000000001</c:v>
                </c:pt>
                <c:pt idx="37">
                  <c:v>15.382999999999999</c:v>
                </c:pt>
                <c:pt idx="38">
                  <c:v>16.824999999999999</c:v>
                </c:pt>
                <c:pt idx="39">
                  <c:v>18.402000000000001</c:v>
                </c:pt>
                <c:pt idx="40">
                  <c:v>20.128</c:v>
                </c:pt>
                <c:pt idx="41">
                  <c:v>22.015999999999998</c:v>
                </c:pt>
                <c:pt idx="42">
                  <c:v>24.082000000000001</c:v>
                </c:pt>
                <c:pt idx="43">
                  <c:v>26.343</c:v>
                </c:pt>
                <c:pt idx="44">
                  <c:v>28.815999999999999</c:v>
                </c:pt>
                <c:pt idx="45">
                  <c:v>31.521999999999998</c:v>
                </c:pt>
                <c:pt idx="46">
                  <c:v>34.481999999999999</c:v>
                </c:pt>
              </c:numCache>
            </c:numRef>
          </c:xVal>
          <c:yVal>
            <c:numRef>
              <c:f>calculator!$C$9:$C$85</c:f>
              <c:numCache>
                <c:formatCode>0.000</c:formatCode>
                <c:ptCount val="77"/>
                <c:pt idx="0">
                  <c:v>7.528E-2</c:v>
                </c:pt>
                <c:pt idx="1">
                  <c:v>0.10439</c:v>
                </c:pt>
                <c:pt idx="2">
                  <c:v>0.13833999999999999</c:v>
                </c:pt>
                <c:pt idx="3">
                  <c:v>0.17616000000000001</c:v>
                </c:pt>
                <c:pt idx="4">
                  <c:v>0.21606</c:v>
                </c:pt>
                <c:pt idx="5">
                  <c:v>0.25561</c:v>
                </c:pt>
                <c:pt idx="6">
                  <c:v>0.29204999999999998</c:v>
                </c:pt>
                <c:pt idx="7">
                  <c:v>0.32318000000000002</c:v>
                </c:pt>
                <c:pt idx="8">
                  <c:v>0.34906999999999999</c:v>
                </c:pt>
                <c:pt idx="9">
                  <c:v>0.37448999999999999</c:v>
                </c:pt>
                <c:pt idx="10">
                  <c:v>0.40529999999999999</c:v>
                </c:pt>
                <c:pt idx="11">
                  <c:v>0.44112000000000001</c:v>
                </c:pt>
                <c:pt idx="12">
                  <c:v>0.47699999999999998</c:v>
                </c:pt>
                <c:pt idx="13">
                  <c:v>0.51405999999999996</c:v>
                </c:pt>
                <c:pt idx="14">
                  <c:v>0.54969999999999997</c:v>
                </c:pt>
                <c:pt idx="15">
                  <c:v>0.58464000000000005</c:v>
                </c:pt>
                <c:pt idx="16">
                  <c:v>0.61933000000000005</c:v>
                </c:pt>
                <c:pt idx="17">
                  <c:v>0.65810999999999997</c:v>
                </c:pt>
                <c:pt idx="18">
                  <c:v>0.69491000000000003</c:v>
                </c:pt>
                <c:pt idx="19">
                  <c:v>0.72863999999999995</c:v>
                </c:pt>
                <c:pt idx="20">
                  <c:v>0.75938000000000005</c:v>
                </c:pt>
                <c:pt idx="21">
                  <c:v>0.78735999999999995</c:v>
                </c:pt>
                <c:pt idx="22">
                  <c:v>0.81201999999999996</c:v>
                </c:pt>
                <c:pt idx="23">
                  <c:v>0.83392999999999995</c:v>
                </c:pt>
                <c:pt idx="24">
                  <c:v>0.85153000000000001</c:v>
                </c:pt>
                <c:pt idx="25">
                  <c:v>0.8649</c:v>
                </c:pt>
                <c:pt idx="26">
                  <c:v>0.87629999999999997</c:v>
                </c:pt>
                <c:pt idx="27">
                  <c:v>0.88448000000000004</c:v>
                </c:pt>
                <c:pt idx="28">
                  <c:v>0.88922999999999996</c:v>
                </c:pt>
                <c:pt idx="29">
                  <c:v>0.89412999999999998</c:v>
                </c:pt>
                <c:pt idx="30">
                  <c:v>0.89792000000000005</c:v>
                </c:pt>
                <c:pt idx="31">
                  <c:v>0.90036000000000005</c:v>
                </c:pt>
                <c:pt idx="32">
                  <c:v>0.90249000000000001</c:v>
                </c:pt>
                <c:pt idx="33">
                  <c:v>0.90410000000000001</c:v>
                </c:pt>
                <c:pt idx="34">
                  <c:v>0.90566999999999998</c:v>
                </c:pt>
                <c:pt idx="35">
                  <c:v>0.90686999999999995</c:v>
                </c:pt>
                <c:pt idx="36">
                  <c:v>0.90788000000000002</c:v>
                </c:pt>
                <c:pt idx="37">
                  <c:v>0.90934000000000004</c:v>
                </c:pt>
                <c:pt idx="38">
                  <c:v>0.91012999999999999</c:v>
                </c:pt>
                <c:pt idx="39">
                  <c:v>0.91110999999999998</c:v>
                </c:pt>
                <c:pt idx="40">
                  <c:v>0.91291999999999995</c:v>
                </c:pt>
                <c:pt idx="41">
                  <c:v>0.91395999999999999</c:v>
                </c:pt>
                <c:pt idx="42">
                  <c:v>0.91522000000000003</c:v>
                </c:pt>
                <c:pt idx="43">
                  <c:v>0.91695000000000004</c:v>
                </c:pt>
                <c:pt idx="44">
                  <c:v>0.91803999999999997</c:v>
                </c:pt>
                <c:pt idx="45">
                  <c:v>0.91910999999999998</c:v>
                </c:pt>
                <c:pt idx="46">
                  <c:v>0.92066999999999999</c:v>
                </c:pt>
              </c:numCache>
            </c:numRef>
          </c:yVal>
          <c:smooth val="0"/>
        </c:ser>
        <c:ser>
          <c:idx val="1"/>
          <c:order val="1"/>
          <c:tx>
            <c:v>Calculated value</c:v>
          </c:tx>
          <c:spPr>
            <a:ln w="28575">
              <a:noFill/>
            </a:ln>
          </c:spPr>
          <c:marker>
            <c:symbol val="plus"/>
            <c:size val="10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calculator!$G$9:$G$366</c:f>
              <c:numCache>
                <c:formatCode>0.0</c:formatCode>
                <c:ptCount val="35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1.1000000000000001</c:v>
                </c:pt>
                <c:pt idx="7">
                  <c:v>1.2</c:v>
                </c:pt>
                <c:pt idx="8">
                  <c:v>1.3</c:v>
                </c:pt>
                <c:pt idx="9">
                  <c:v>1.4</c:v>
                </c:pt>
                <c:pt idx="10">
                  <c:v>1.5</c:v>
                </c:pt>
                <c:pt idx="11">
                  <c:v>1.6</c:v>
                </c:pt>
                <c:pt idx="12">
                  <c:v>1.7</c:v>
                </c:pt>
                <c:pt idx="13">
                  <c:v>1.8</c:v>
                </c:pt>
                <c:pt idx="14">
                  <c:v>1.9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 formatCode="0">
                  <c:v>7</c:v>
                </c:pt>
                <c:pt idx="21" formatCode="0">
                  <c:v>8</c:v>
                </c:pt>
                <c:pt idx="22" formatCode="0">
                  <c:v>9</c:v>
                </c:pt>
                <c:pt idx="23" formatCode="0">
                  <c:v>10</c:v>
                </c:pt>
                <c:pt idx="24" formatCode="0">
                  <c:v>11</c:v>
                </c:pt>
                <c:pt idx="25" formatCode="0">
                  <c:v>12</c:v>
                </c:pt>
                <c:pt idx="26" formatCode="0">
                  <c:v>13</c:v>
                </c:pt>
                <c:pt idx="27" formatCode="0">
                  <c:v>14</c:v>
                </c:pt>
                <c:pt idx="28" formatCode="0">
                  <c:v>15</c:v>
                </c:pt>
                <c:pt idx="29" formatCode="0">
                  <c:v>16</c:v>
                </c:pt>
                <c:pt idx="30" formatCode="0">
                  <c:v>17</c:v>
                </c:pt>
                <c:pt idx="31" formatCode="0">
                  <c:v>18</c:v>
                </c:pt>
                <c:pt idx="32" formatCode="0">
                  <c:v>19</c:v>
                </c:pt>
                <c:pt idx="33" formatCode="0">
                  <c:v>20</c:v>
                </c:pt>
                <c:pt idx="34" formatCode="0">
                  <c:v>21</c:v>
                </c:pt>
                <c:pt idx="35" formatCode="0">
                  <c:v>22</c:v>
                </c:pt>
                <c:pt idx="36" formatCode="0">
                  <c:v>23</c:v>
                </c:pt>
                <c:pt idx="37" formatCode="0">
                  <c:v>24</c:v>
                </c:pt>
                <c:pt idx="38" formatCode="0">
                  <c:v>25</c:v>
                </c:pt>
                <c:pt idx="39" formatCode="0">
                  <c:v>26</c:v>
                </c:pt>
                <c:pt idx="40" formatCode="0">
                  <c:v>27</c:v>
                </c:pt>
                <c:pt idx="41" formatCode="0">
                  <c:v>28</c:v>
                </c:pt>
                <c:pt idx="42" formatCode="0">
                  <c:v>29</c:v>
                </c:pt>
                <c:pt idx="43" formatCode="0">
                  <c:v>30</c:v>
                </c:pt>
              </c:numCache>
            </c:numRef>
          </c:xVal>
          <c:yVal>
            <c:numRef>
              <c:f>calculator!$H$9:$H$366</c:f>
              <c:numCache>
                <c:formatCode>0.00</c:formatCode>
                <c:ptCount val="358"/>
                <c:pt idx="0">
                  <c:v>8.9570130088594269E-3</c:v>
                </c:pt>
                <c:pt idx="1">
                  <c:v>6.4429851322104048E-2</c:v>
                </c:pt>
                <c:pt idx="2">
                  <c:v>0.12430999999999998</c:v>
                </c:pt>
                <c:pt idx="3">
                  <c:v>0.18509283582089558</c:v>
                </c:pt>
                <c:pt idx="4">
                  <c:v>0.24171405405405411</c:v>
                </c:pt>
                <c:pt idx="5">
                  <c:v>0.28890086419753092</c:v>
                </c:pt>
                <c:pt idx="6">
                  <c:v>0.32424762886597941</c:v>
                </c:pt>
                <c:pt idx="7">
                  <c:v>0.35074867924528297</c:v>
                </c:pt>
                <c:pt idx="8">
                  <c:v>0.37475333333333333</c:v>
                </c:pt>
                <c:pt idx="9">
                  <c:v>0.40108666666666665</c:v>
                </c:pt>
                <c:pt idx="10">
                  <c:v>0.428991968503937</c:v>
                </c:pt>
                <c:pt idx="11">
                  <c:v>0.45583338129496415</c:v>
                </c:pt>
                <c:pt idx="12">
                  <c:v>0.48138868421052633</c:v>
                </c:pt>
                <c:pt idx="13">
                  <c:v>0.50577026315789464</c:v>
                </c:pt>
                <c:pt idx="14">
                  <c:v>0.52823012048192752</c:v>
                </c:pt>
                <c:pt idx="15">
                  <c:v>0.54969999999999986</c:v>
                </c:pt>
                <c:pt idx="16">
                  <c:v>0.71584586206896561</c:v>
                </c:pt>
                <c:pt idx="17">
                  <c:v>0.80919964809384171</c:v>
                </c:pt>
                <c:pt idx="18">
                  <c:v>0.85682416107382542</c:v>
                </c:pt>
                <c:pt idx="19">
                  <c:v>0.87996268656716414</c:v>
                </c:pt>
                <c:pt idx="20">
                  <c:v>0.89012438377535108</c:v>
                </c:pt>
                <c:pt idx="21">
                  <c:v>0.89669620199146527</c:v>
                </c:pt>
                <c:pt idx="22">
                  <c:v>0.90037267857142855</c:v>
                </c:pt>
                <c:pt idx="23">
                  <c:v>0.90277874999999985</c:v>
                </c:pt>
                <c:pt idx="24">
                  <c:v>0.90448235586481107</c:v>
                </c:pt>
                <c:pt idx="25">
                  <c:v>0.90593072727272717</c:v>
                </c:pt>
                <c:pt idx="26">
                  <c:v>0.9069865062240664</c:v>
                </c:pt>
                <c:pt idx="27">
                  <c:v>0.90782468049792542</c:v>
                </c:pt>
                <c:pt idx="28">
                  <c:v>0.90891541381928631</c:v>
                </c:pt>
                <c:pt idx="29">
                  <c:v>0.90967802357836336</c:v>
                </c:pt>
                <c:pt idx="30">
                  <c:v>0.91023875079264427</c:v>
                </c:pt>
                <c:pt idx="31">
                  <c:v>0.91086018389346857</c:v>
                </c:pt>
                <c:pt idx="32">
                  <c:v>0.91173710312862111</c:v>
                </c:pt>
                <c:pt idx="33">
                  <c:v>0.91278577056778687</c:v>
                </c:pt>
                <c:pt idx="34">
                  <c:v>0.91340033898305084</c:v>
                </c:pt>
                <c:pt idx="35">
                  <c:v>0.91395118644067797</c:v>
                </c:pt>
                <c:pt idx="36">
                  <c:v>0.91456011616650534</c:v>
                </c:pt>
                <c:pt idx="37">
                  <c:v>0.91516999031945789</c:v>
                </c:pt>
                <c:pt idx="38">
                  <c:v>0.9159224060150376</c:v>
                </c:pt>
                <c:pt idx="39">
                  <c:v>0.9166875541795666</c:v>
                </c:pt>
                <c:pt idx="40">
                  <c:v>0.91723957945814794</c:v>
                </c:pt>
                <c:pt idx="41">
                  <c:v>0.91768033966841889</c:v>
                </c:pt>
                <c:pt idx="42">
                  <c:v>0.91811275683665916</c:v>
                </c:pt>
                <c:pt idx="43">
                  <c:v>0.91850817442719879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510272"/>
        <c:axId val="239512576"/>
      </c:scatterChart>
      <c:valAx>
        <c:axId val="239510272"/>
        <c:scaling>
          <c:logBase val="10"/>
          <c:orientation val="minMax"/>
          <c:max val="100"/>
          <c:min val="0.1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100"/>
                  <a:t>Pore size (nm)</a:t>
                </a:r>
              </a:p>
            </c:rich>
          </c:tx>
          <c:layout>
            <c:manualLayout>
              <c:xMode val="edge"/>
              <c:yMode val="edge"/>
              <c:x val="0.33898599830652665"/>
              <c:y val="0.8829186784809174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512576"/>
        <c:crosses val="autoZero"/>
        <c:crossBetween val="midCat"/>
      </c:valAx>
      <c:valAx>
        <c:axId val="239512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1100"/>
                  <a:t>Cumulative pore volume</a:t>
                </a:r>
                <a:r>
                  <a:rPr lang="de-DE" sz="1100" baseline="0"/>
                  <a:t> (cm³/g)</a:t>
                </a:r>
                <a:endParaRPr lang="de-DE" sz="1100"/>
              </a:p>
            </c:rich>
          </c:tx>
          <c:layout>
            <c:manualLayout>
              <c:xMode val="edge"/>
              <c:yMode val="edge"/>
              <c:x val="1.8002273962797244E-2"/>
              <c:y val="0.120363599516119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510272"/>
        <c:crossesAt val="0.1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052505609837018"/>
          <c:y val="0.23470220274073347"/>
          <c:w val="0.20877283925050241"/>
          <c:h val="0.39737553564227973"/>
        </c:manualLayout>
      </c:layout>
      <c:overlay val="0"/>
      <c:spPr>
        <a:solidFill>
          <a:schemeClr val="bg1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hyperlink" Target="http://www.wetsus.nl/" TargetMode="External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hyperlink" Target="http://www.inm-gmbh.de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285751</xdr:colOff>
      <xdr:row>0</xdr:row>
      <xdr:rowOff>104776</xdr:rowOff>
    </xdr:from>
    <xdr:to>
      <xdr:col>23</xdr:col>
      <xdr:colOff>19050</xdr:colOff>
      <xdr:row>7</xdr:row>
      <xdr:rowOff>485775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552451</xdr:colOff>
      <xdr:row>1</xdr:row>
      <xdr:rowOff>50678</xdr:rowOff>
    </xdr:from>
    <xdr:to>
      <xdr:col>27</xdr:col>
      <xdr:colOff>228601</xdr:colOff>
      <xdr:row>7</xdr:row>
      <xdr:rowOff>268438</xdr:rowOff>
    </xdr:to>
    <xdr:pic>
      <xdr:nvPicPr>
        <xdr:cNvPr id="4" name="irc_mi" descr="http://www.omropfryslan.nl/data/files/imagenodes/wetsus_logo.jpg">
          <a:hlinkClick xmlns:r="http://schemas.openxmlformats.org/officeDocument/2006/relationships" r:id="rId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9726" y="365003"/>
          <a:ext cx="2114550" cy="1436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457200</xdr:colOff>
      <xdr:row>1</xdr:row>
      <xdr:rowOff>57150</xdr:rowOff>
    </xdr:from>
    <xdr:to>
      <xdr:col>30</xdr:col>
      <xdr:colOff>561975</xdr:colOff>
      <xdr:row>7</xdr:row>
      <xdr:rowOff>248608</xdr:rowOff>
    </xdr:to>
    <xdr:pic>
      <xdr:nvPicPr>
        <xdr:cNvPr id="5" name="Grafik 4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82875" y="371475"/>
          <a:ext cx="1933575" cy="14106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514350</xdr:colOff>
      <xdr:row>23</xdr:row>
      <xdr:rowOff>95250</xdr:rowOff>
    </xdr:from>
    <xdr:to>
      <xdr:col>15</xdr:col>
      <xdr:colOff>552450</xdr:colOff>
      <xdr:row>29</xdr:row>
      <xdr:rowOff>44363</xdr:rowOff>
    </xdr:to>
    <xdr:sp macro="" textlink="">
      <xdr:nvSpPr>
        <xdr:cNvPr id="7" name="TextBox 3"/>
        <xdr:cNvSpPr txBox="1"/>
      </xdr:nvSpPr>
      <xdr:spPr>
        <a:xfrm>
          <a:off x="6486525" y="4924425"/>
          <a:ext cx="1781175" cy="103496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6000">
              <a:latin typeface="Symbol" pitchFamily="18" charset="2"/>
            </a:rPr>
            <a:t>z (s)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</xdr:row>
          <xdr:rowOff>0</xdr:rowOff>
        </xdr:from>
        <xdr:to>
          <xdr:col>31</xdr:col>
          <xdr:colOff>400050</xdr:colOff>
          <xdr:row>37</xdr:row>
          <xdr:rowOff>95250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248"/>
  <sheetViews>
    <sheetView tabSelected="1" workbookViewId="0">
      <pane xSplit="12" ySplit="8" topLeftCell="M9" activePane="bottomRight" state="frozenSplit"/>
      <selection pane="topRight" activeCell="H1" sqref="H1"/>
      <selection pane="bottomLeft" activeCell="A9" sqref="A9"/>
      <selection pane="bottomRight"/>
    </sheetView>
  </sheetViews>
  <sheetFormatPr baseColWidth="10" defaultColWidth="11.42578125" defaultRowHeight="14.25" x14ac:dyDescent="0.2"/>
  <cols>
    <col min="1" max="1" width="2.7109375" style="9" customWidth="1"/>
    <col min="2" max="2" width="7.85546875" style="7" bestFit="1" customWidth="1"/>
    <col min="3" max="3" width="13.7109375" style="8" bestFit="1" customWidth="1"/>
    <col min="4" max="6" width="2.7109375" style="9" customWidth="1"/>
    <col min="7" max="7" width="9.85546875" style="10" customWidth="1"/>
    <col min="8" max="8" width="13.7109375" style="11" bestFit="1" customWidth="1"/>
    <col min="9" max="9" width="13.7109375" style="11" customWidth="1"/>
    <col min="10" max="10" width="8.5703125" style="12" bestFit="1" customWidth="1"/>
    <col min="11" max="11" width="9.28515625" style="12" bestFit="1" customWidth="1"/>
    <col min="12" max="12" width="2.7109375" style="9" customWidth="1"/>
    <col min="13" max="20" width="8.7109375" style="9" customWidth="1"/>
    <col min="21" max="21" width="9.7109375" style="9" bestFit="1" customWidth="1"/>
    <col min="22" max="242" width="9.140625" style="9" customWidth="1"/>
    <col min="243" max="16384" width="11.42578125" style="9"/>
  </cols>
  <sheetData>
    <row r="1" spans="2:20" ht="24.95" customHeight="1" thickBot="1" x14ac:dyDescent="0.25"/>
    <row r="2" spans="2:20" ht="12.75" customHeight="1" x14ac:dyDescent="0.2">
      <c r="B2" s="64" t="str">
        <f>IF(MAX(B$9:B$1048576)&lt;30,"Measured pore volume up to "&amp;ROUND(MAX(B$9:B$1048576),1)&amp;" nm:","Measured pore volume up to 30 nm:")</f>
        <v>Measured pore volume up to 30 nm:</v>
      </c>
      <c r="C2" s="65"/>
      <c r="D2" s="65"/>
      <c r="E2" s="65"/>
      <c r="F2" s="66"/>
      <c r="G2" s="66"/>
      <c r="H2" s="66"/>
      <c r="I2" s="67"/>
      <c r="J2" s="71">
        <f ca="1">IF(MAX(B$9:B$1048576)&lt;30,MAX(C$9:C$1048576),H52)</f>
        <v>0.91850817442719879</v>
      </c>
      <c r="K2" s="46" t="s">
        <v>0</v>
      </c>
    </row>
    <row r="3" spans="2:20" ht="12.75" customHeight="1" x14ac:dyDescent="0.2">
      <c r="B3" s="68"/>
      <c r="C3" s="57"/>
      <c r="D3" s="57"/>
      <c r="E3" s="57"/>
      <c r="F3" s="58"/>
      <c r="G3" s="58"/>
      <c r="H3" s="58"/>
      <c r="I3" s="59"/>
      <c r="J3" s="48"/>
      <c r="K3" s="47"/>
    </row>
    <row r="4" spans="2:20" ht="12.75" customHeight="1" x14ac:dyDescent="0.2">
      <c r="B4" s="56" t="s">
        <v>14</v>
      </c>
      <c r="C4" s="57"/>
      <c r="D4" s="57"/>
      <c r="E4" s="57"/>
      <c r="F4" s="58"/>
      <c r="G4" s="58"/>
      <c r="H4" s="58"/>
      <c r="I4" s="59"/>
      <c r="J4" s="48">
        <f ca="1">MAX(I9:I52)</f>
        <v>10.620821916183171</v>
      </c>
      <c r="K4" s="50" t="s">
        <v>2</v>
      </c>
    </row>
    <row r="5" spans="2:20" ht="13.5" customHeight="1" thickBot="1" x14ac:dyDescent="0.25">
      <c r="B5" s="60"/>
      <c r="C5" s="61"/>
      <c r="D5" s="61"/>
      <c r="E5" s="61"/>
      <c r="F5" s="62"/>
      <c r="G5" s="62"/>
      <c r="H5" s="62"/>
      <c r="I5" s="63"/>
      <c r="J5" s="49"/>
      <c r="K5" s="51"/>
    </row>
    <row r="6" spans="2:20" ht="24.95" customHeight="1" thickBot="1" x14ac:dyDescent="0.25"/>
    <row r="7" spans="2:20" s="13" customFormat="1" ht="20.100000000000001" customHeight="1" thickBot="1" x14ac:dyDescent="0.3">
      <c r="B7" s="69" t="s">
        <v>3</v>
      </c>
      <c r="C7" s="70"/>
      <c r="G7" s="75" t="s">
        <v>8</v>
      </c>
      <c r="H7" s="76"/>
      <c r="I7" s="76"/>
      <c r="J7" s="77"/>
      <c r="K7" s="29"/>
    </row>
    <row r="8" spans="2:20" ht="45.75" thickBot="1" x14ac:dyDescent="0.25">
      <c r="B8" s="20" t="s">
        <v>1</v>
      </c>
      <c r="C8" s="1" t="s">
        <v>15</v>
      </c>
      <c r="G8" s="18" t="s">
        <v>9</v>
      </c>
      <c r="H8" s="2" t="s">
        <v>15</v>
      </c>
      <c r="I8" s="32" t="s">
        <v>12</v>
      </c>
      <c r="J8" s="30" t="s">
        <v>13</v>
      </c>
      <c r="K8" s="29"/>
    </row>
    <row r="9" spans="2:20" ht="14.25" customHeight="1" x14ac:dyDescent="0.2">
      <c r="B9" s="45">
        <v>0.61399999999999999</v>
      </c>
      <c r="C9" s="3">
        <v>7.528E-2</v>
      </c>
      <c r="G9" s="38">
        <v>0.5</v>
      </c>
      <c r="H9" s="26">
        <f>IF(G9&lt;MIN(B:B),FORECAST(G9,C9:C11,B9:B11),TREND(C9:C10,B9:B10,G9))</f>
        <v>8.9570130088594269E-3</v>
      </c>
      <c r="I9" s="52">
        <f>IF(G11="","",H11*58.44*J9)</f>
        <v>3.741308345999999</v>
      </c>
      <c r="J9" s="78">
        <f>IF(G11="","",0.515)</f>
        <v>0.51500000000000001</v>
      </c>
      <c r="K9" s="23"/>
    </row>
    <row r="10" spans="2:20" ht="14.25" customHeight="1" x14ac:dyDescent="0.2">
      <c r="B10" s="45">
        <v>0.66600000000000004</v>
      </c>
      <c r="C10" s="3">
        <v>0.10439</v>
      </c>
      <c r="G10" s="39">
        <v>0.6</v>
      </c>
      <c r="H10" s="4">
        <f t="shared" ref="H10:H11" si="0">IF(G10&lt;MIN(B:B),FORECAST(G10,C10:C12,B10:B12),TREND(C10:C11,B10:B11,G10))</f>
        <v>6.4429851322104048E-2</v>
      </c>
      <c r="I10" s="53"/>
      <c r="J10" s="79"/>
      <c r="K10" s="23"/>
    </row>
    <row r="11" spans="2:20" ht="14.25" customHeight="1" x14ac:dyDescent="0.25">
      <c r="B11" s="45">
        <v>0.72299999999999998</v>
      </c>
      <c r="C11" s="3">
        <v>0.13833999999999999</v>
      </c>
      <c r="G11" s="40">
        <v>0.7</v>
      </c>
      <c r="H11" s="27">
        <f t="shared" si="0"/>
        <v>0.12430999999999998</v>
      </c>
      <c r="I11" s="54"/>
      <c r="J11" s="80"/>
      <c r="K11" s="23"/>
      <c r="N11" s="22" t="s">
        <v>4</v>
      </c>
    </row>
    <row r="12" spans="2:20" ht="14.25" customHeight="1" x14ac:dyDescent="0.2">
      <c r="B12" s="45">
        <v>0.78500000000000003</v>
      </c>
      <c r="C12" s="3">
        <v>0.17616000000000001</v>
      </c>
      <c r="G12" s="39">
        <f>IF(MIN(B$2:B$1048576)&lt;0.8,0.8,"")</f>
        <v>0.8</v>
      </c>
      <c r="H12" s="28">
        <f t="shared" ref="H12:H15" ca="1" si="1">IF(G12&gt;(MAX(B$9:B$1048576)),"",IF(G12&lt;MIN(B$9:B$1048576),TREND(C11:C12,B11:B12,G12),FORECAST(G12,OFFSET(KnownY,MATCH(G12,KnownX,1)-1,0,2),OFFSET(KnownX,MATCH(G12,KnownX,1)-1,0,2))))</f>
        <v>0.18509283582089558</v>
      </c>
      <c r="I12" s="55">
        <f ca="1">IF(G11="",(H15)*58.44*J12,I9+(H15-H11)*58.44*J12)</f>
        <v>7.0012433996288657</v>
      </c>
      <c r="J12" s="81">
        <v>0.27900000000000003</v>
      </c>
      <c r="K12" s="23"/>
    </row>
    <row r="13" spans="2:20" ht="14.25" customHeight="1" x14ac:dyDescent="0.2">
      <c r="B13" s="45">
        <v>0.85199999999999998</v>
      </c>
      <c r="C13" s="3">
        <v>0.21606</v>
      </c>
      <c r="G13" s="39">
        <v>0.9</v>
      </c>
      <c r="H13" s="4">
        <f t="shared" ca="1" si="1"/>
        <v>0.24171405405405411</v>
      </c>
      <c r="I13" s="53"/>
      <c r="J13" s="79"/>
      <c r="K13" s="23"/>
      <c r="N13" s="72" t="s">
        <v>11</v>
      </c>
      <c r="O13" s="73"/>
      <c r="P13" s="73"/>
      <c r="Q13" s="73"/>
      <c r="R13" s="73"/>
      <c r="S13" s="73"/>
      <c r="T13" s="73"/>
    </row>
    <row r="14" spans="2:20" ht="14.25" customHeight="1" x14ac:dyDescent="0.2">
      <c r="B14" s="45">
        <v>0.92600000000000005</v>
      </c>
      <c r="C14" s="3">
        <v>0.25561</v>
      </c>
      <c r="G14" s="39">
        <v>1</v>
      </c>
      <c r="H14" s="4">
        <f t="shared" ca="1" si="1"/>
        <v>0.28890086419753092</v>
      </c>
      <c r="I14" s="53"/>
      <c r="J14" s="79"/>
      <c r="K14" s="25"/>
      <c r="N14" s="73"/>
      <c r="O14" s="73"/>
      <c r="P14" s="73"/>
      <c r="Q14" s="73"/>
      <c r="R14" s="73"/>
      <c r="S14" s="73"/>
      <c r="T14" s="73"/>
    </row>
    <row r="15" spans="2:20" ht="14.25" customHeight="1" x14ac:dyDescent="0.2">
      <c r="B15" s="45">
        <v>1.0069999999999999</v>
      </c>
      <c r="C15" s="3">
        <v>0.29204999999999998</v>
      </c>
      <c r="G15" s="40">
        <v>1.1000000000000001</v>
      </c>
      <c r="H15" s="27">
        <f t="shared" ca="1" si="1"/>
        <v>0.32424762886597941</v>
      </c>
      <c r="I15" s="54"/>
      <c r="J15" s="80"/>
      <c r="K15" s="23"/>
    </row>
    <row r="16" spans="2:20" ht="14.25" customHeight="1" x14ac:dyDescent="0.2">
      <c r="B16" s="45">
        <v>1.0960000000000001</v>
      </c>
      <c r="C16" s="3">
        <v>0.32318000000000002</v>
      </c>
      <c r="G16" s="41">
        <v>1.2</v>
      </c>
      <c r="H16" s="28">
        <f t="shared" ref="H16:H52" ca="1" si="2">IF(G16&gt;(MAX(B$9:B$1048576)),"",IF(G16&lt;MIN(B$9:B$1048576),TREND(C15:C16,B15:B16,G16),FORECAST(G16,OFFSET(KnownY,MATCH(G16,KnownX,1)-1,0,2),OFFSET(KnownX,MATCH(G16,KnownX,1)-1,0,2))))</f>
        <v>0.35074867924528297</v>
      </c>
      <c r="I16" s="74">
        <f ca="1">I12+((MAX(H16:H28)-H15)*58.44*J16)</f>
        <v>10.47617411263899</v>
      </c>
      <c r="J16" s="81">
        <v>0.107</v>
      </c>
      <c r="K16" s="23"/>
      <c r="N16" s="72" t="s">
        <v>5</v>
      </c>
      <c r="O16" s="73"/>
      <c r="P16" s="73"/>
      <c r="Q16" s="73"/>
      <c r="R16" s="73"/>
      <c r="S16" s="73"/>
      <c r="T16" s="73"/>
    </row>
    <row r="17" spans="2:20" ht="14.25" customHeight="1" x14ac:dyDescent="0.2">
      <c r="B17" s="45">
        <v>1.1930000000000001</v>
      </c>
      <c r="C17" s="3">
        <v>0.34906999999999999</v>
      </c>
      <c r="G17" s="39">
        <v>1.3</v>
      </c>
      <c r="H17" s="4">
        <f t="shared" ca="1" si="2"/>
        <v>0.37475333333333333</v>
      </c>
      <c r="I17" s="53"/>
      <c r="J17" s="79"/>
      <c r="K17" s="23"/>
      <c r="N17" s="73"/>
      <c r="O17" s="73"/>
      <c r="P17" s="73"/>
      <c r="Q17" s="73"/>
      <c r="R17" s="73"/>
      <c r="S17" s="73"/>
      <c r="T17" s="73"/>
    </row>
    <row r="18" spans="2:20" ht="14.25" customHeight="1" x14ac:dyDescent="0.2">
      <c r="B18" s="45">
        <v>1.2989999999999999</v>
      </c>
      <c r="C18" s="3">
        <v>0.37448999999999999</v>
      </c>
      <c r="G18" s="39">
        <v>1.4</v>
      </c>
      <c r="H18" s="4">
        <f t="shared" ca="1" si="2"/>
        <v>0.40108666666666665</v>
      </c>
      <c r="I18" s="53"/>
      <c r="J18" s="79"/>
      <c r="K18" s="23"/>
    </row>
    <row r="19" spans="2:20" ht="14.25" customHeight="1" x14ac:dyDescent="0.2">
      <c r="B19" s="45">
        <v>1.4159999999999999</v>
      </c>
      <c r="C19" s="3">
        <v>0.40529999999999999</v>
      </c>
      <c r="G19" s="39">
        <v>1.5</v>
      </c>
      <c r="H19" s="4">
        <f t="shared" ca="1" si="2"/>
        <v>0.428991968503937</v>
      </c>
      <c r="I19" s="53"/>
      <c r="J19" s="79"/>
      <c r="K19" s="23"/>
      <c r="N19" s="9" t="s">
        <v>10</v>
      </c>
    </row>
    <row r="20" spans="2:20" ht="14.25" customHeight="1" x14ac:dyDescent="0.2">
      <c r="B20" s="45">
        <v>1.5429999999999999</v>
      </c>
      <c r="C20" s="3">
        <v>0.44112000000000001</v>
      </c>
      <c r="G20" s="39">
        <v>1.6</v>
      </c>
      <c r="H20" s="4">
        <f t="shared" ca="1" si="2"/>
        <v>0.45583338129496415</v>
      </c>
      <c r="I20" s="53"/>
      <c r="J20" s="79"/>
      <c r="K20" s="23"/>
    </row>
    <row r="21" spans="2:20" ht="14.25" customHeight="1" x14ac:dyDescent="0.25">
      <c r="B21" s="45">
        <v>1.6819999999999999</v>
      </c>
      <c r="C21" s="3">
        <v>0.47699999999999998</v>
      </c>
      <c r="G21" s="39">
        <v>1.7</v>
      </c>
      <c r="H21" s="4">
        <f t="shared" ca="1" si="2"/>
        <v>0.48138868421052633</v>
      </c>
      <c r="I21" s="53"/>
      <c r="J21" s="79"/>
      <c r="K21" s="23"/>
      <c r="N21" s="22" t="s">
        <v>6</v>
      </c>
      <c r="P21"/>
    </row>
    <row r="22" spans="2:20" ht="14.25" customHeight="1" x14ac:dyDescent="0.2">
      <c r="B22" s="45">
        <v>1.8340000000000001</v>
      </c>
      <c r="C22" s="3">
        <v>0.51405999999999996</v>
      </c>
      <c r="G22" s="39">
        <v>1.8</v>
      </c>
      <c r="H22" s="4">
        <f t="shared" ca="1" si="2"/>
        <v>0.50577026315789464</v>
      </c>
      <c r="I22" s="53"/>
      <c r="J22" s="79"/>
      <c r="K22" s="23"/>
      <c r="N22" s="9" t="s">
        <v>7</v>
      </c>
    </row>
    <row r="23" spans="2:20" ht="14.25" customHeight="1" x14ac:dyDescent="0.2">
      <c r="B23" s="45">
        <v>2</v>
      </c>
      <c r="C23" s="3">
        <v>0.54969999999999997</v>
      </c>
      <c r="G23" s="39">
        <v>1.9</v>
      </c>
      <c r="H23" s="4">
        <f t="shared" ca="1" si="2"/>
        <v>0.52823012048192752</v>
      </c>
      <c r="I23" s="53"/>
      <c r="J23" s="79"/>
      <c r="K23" s="23"/>
    </row>
    <row r="24" spans="2:20" ht="14.25" customHeight="1" x14ac:dyDescent="0.2">
      <c r="B24" s="45">
        <v>2.1829999999999998</v>
      </c>
      <c r="C24" s="3">
        <v>0.58464000000000005</v>
      </c>
      <c r="G24" s="39">
        <v>2</v>
      </c>
      <c r="H24" s="4">
        <f t="shared" ca="1" si="2"/>
        <v>0.54969999999999986</v>
      </c>
      <c r="I24" s="53"/>
      <c r="J24" s="79"/>
      <c r="K24" s="23"/>
    </row>
    <row r="25" spans="2:20" ht="14.25" customHeight="1" x14ac:dyDescent="0.2">
      <c r="B25" s="45">
        <v>2.3820000000000001</v>
      </c>
      <c r="C25" s="3">
        <v>0.61933000000000005</v>
      </c>
      <c r="G25" s="39">
        <f>IF(3&gt;MAX(B$9:B$1048576),"",3)</f>
        <v>3</v>
      </c>
      <c r="H25" s="4">
        <f t="shared" ca="1" si="2"/>
        <v>0.71584586206896561</v>
      </c>
      <c r="I25" s="53"/>
      <c r="J25" s="79"/>
      <c r="K25" s="23"/>
    </row>
    <row r="26" spans="2:20" ht="14.25" customHeight="1" x14ac:dyDescent="0.2">
      <c r="B26" s="45">
        <v>2.6</v>
      </c>
      <c r="C26" s="3">
        <v>0.65810999999999997</v>
      </c>
      <c r="G26" s="39">
        <f>IF(4&gt;MAX(B$9:B$1048576),"",4)</f>
        <v>4</v>
      </c>
      <c r="H26" s="4">
        <f t="shared" ca="1" si="2"/>
        <v>0.80919964809384171</v>
      </c>
      <c r="I26" s="53"/>
      <c r="J26" s="79"/>
      <c r="K26" s="23"/>
    </row>
    <row r="27" spans="2:20" ht="14.25" customHeight="1" x14ac:dyDescent="0.2">
      <c r="B27" s="45">
        <v>2.8380000000000001</v>
      </c>
      <c r="C27" s="3">
        <v>0.69491000000000003</v>
      </c>
      <c r="G27" s="39">
        <f>IF(5&gt;MAX(B$9:B$1048576),"",5)</f>
        <v>5</v>
      </c>
      <c r="H27" s="4">
        <f t="shared" ca="1" si="2"/>
        <v>0.85682416107382542</v>
      </c>
      <c r="I27" s="53"/>
      <c r="J27" s="79"/>
      <c r="K27" s="23"/>
    </row>
    <row r="28" spans="2:20" ht="14.25" customHeight="1" x14ac:dyDescent="0.2">
      <c r="B28" s="45">
        <v>3.0990000000000002</v>
      </c>
      <c r="C28" s="3">
        <v>0.72863999999999995</v>
      </c>
      <c r="G28" s="39">
        <f>IF(6&gt;MAX(B$9:B$1048576),"",6)</f>
        <v>6</v>
      </c>
      <c r="H28" s="4">
        <f t="shared" ca="1" si="2"/>
        <v>0.87996268656716414</v>
      </c>
      <c r="I28" s="53"/>
      <c r="J28" s="79"/>
      <c r="K28" s="23"/>
    </row>
    <row r="29" spans="2:20" ht="14.25" customHeight="1" x14ac:dyDescent="0.2">
      <c r="B29" s="45">
        <v>3.3849999999999998</v>
      </c>
      <c r="C29" s="3">
        <v>0.75938000000000005</v>
      </c>
      <c r="G29" s="42">
        <f>IF(7&gt;MAX(B$9:B$1048576),"",7)</f>
        <v>7</v>
      </c>
      <c r="H29" s="28">
        <f t="shared" ca="1" si="2"/>
        <v>0.89012438377535108</v>
      </c>
      <c r="I29" s="33">
        <f ca="1">IF(G29="","",I16+((H29-H28)*J29*58.44))</f>
        <v>10.530638603134907</v>
      </c>
      <c r="J29" s="36">
        <f>$J$16*$G$28/G29</f>
        <v>9.171428571428572E-2</v>
      </c>
      <c r="K29" s="23"/>
    </row>
    <row r="30" spans="2:20" ht="14.25" customHeight="1" x14ac:dyDescent="0.2">
      <c r="B30" s="45">
        <v>3.698</v>
      </c>
      <c r="C30" s="3">
        <v>0.78735999999999995</v>
      </c>
      <c r="G30" s="43">
        <f>IF(8&gt;MAX(B$9:B$1048576),"",8)</f>
        <v>8</v>
      </c>
      <c r="H30" s="4">
        <f t="shared" ca="1" si="2"/>
        <v>0.89669620199146527</v>
      </c>
      <c r="I30" s="34">
        <f ca="1">IF(G30="","",I29+((H30-H29)*J30*58.44))</f>
        <v>10.561459181923022</v>
      </c>
      <c r="J30" s="31">
        <f t="shared" ref="J30:J52" si="3">$J$16*$G$28/G30</f>
        <v>8.0250000000000002E-2</v>
      </c>
      <c r="K30" s="23"/>
    </row>
    <row r="31" spans="2:20" ht="14.25" customHeight="1" x14ac:dyDescent="0.2">
      <c r="B31" s="45">
        <v>4.0389999999999997</v>
      </c>
      <c r="C31" s="3">
        <v>0.81201999999999996</v>
      </c>
      <c r="G31" s="43">
        <f>IF(9&gt;MAX(B$9:B$1048576),"",9)</f>
        <v>9</v>
      </c>
      <c r="H31" s="4">
        <f t="shared" ca="1" si="2"/>
        <v>0.90037267857142855</v>
      </c>
      <c r="I31" s="34">
        <f t="shared" ref="I31:I52" ca="1" si="4">IF(G31="","",I30+((H31-H30)*J31*58.44))</f>
        <v>10.576785383371446</v>
      </c>
      <c r="J31" s="31">
        <f t="shared" si="3"/>
        <v>7.1333333333333332E-2</v>
      </c>
      <c r="K31" s="23"/>
    </row>
    <row r="32" spans="2:20" ht="14.25" customHeight="1" x14ac:dyDescent="0.2">
      <c r="B32" s="45">
        <v>4.4130000000000003</v>
      </c>
      <c r="C32" s="3">
        <v>0.83392999999999995</v>
      </c>
      <c r="G32" s="43">
        <f>IF(10&gt;MAX(B$9:B$1048576),"",10)</f>
        <v>10</v>
      </c>
      <c r="H32" s="4">
        <f t="shared" ca="1" si="2"/>
        <v>0.90277874999999985</v>
      </c>
      <c r="I32" s="34">
        <f t="shared" ca="1" si="4"/>
        <v>10.585812597648589</v>
      </c>
      <c r="J32" s="31">
        <f t="shared" si="3"/>
        <v>6.4200000000000007E-2</v>
      </c>
      <c r="K32" s="23"/>
    </row>
    <row r="33" spans="2:11" ht="14.25" customHeight="1" x14ac:dyDescent="0.2">
      <c r="B33" s="45">
        <v>4.8230000000000004</v>
      </c>
      <c r="C33" s="3">
        <v>0.85153000000000001</v>
      </c>
      <c r="G33" s="43">
        <f>IF(11&gt;MAX(B$9:B$1048576),"",11)</f>
        <v>11</v>
      </c>
      <c r="H33" s="4">
        <f t="shared" ca="1" si="2"/>
        <v>0.90448235586481107</v>
      </c>
      <c r="I33" s="34">
        <f t="shared" ca="1" si="4"/>
        <v>10.591623206972844</v>
      </c>
      <c r="J33" s="31">
        <f t="shared" si="3"/>
        <v>5.8363636363636368E-2</v>
      </c>
      <c r="K33" s="23"/>
    </row>
    <row r="34" spans="2:11" ht="14.25" customHeight="1" x14ac:dyDescent="0.2">
      <c r="B34" s="45">
        <v>5.27</v>
      </c>
      <c r="C34" s="3">
        <v>0.8649</v>
      </c>
      <c r="G34" s="43">
        <f>IF(12&gt;MAX(B$9:B$1048576),"",12)</f>
        <v>12</v>
      </c>
      <c r="H34" s="4">
        <f t="shared" ca="1" si="2"/>
        <v>0.90593072727272717</v>
      </c>
      <c r="I34" s="34">
        <f t="shared" ca="1" si="4"/>
        <v>10.596151598114551</v>
      </c>
      <c r="J34" s="31">
        <f t="shared" si="3"/>
        <v>5.3499999999999999E-2</v>
      </c>
      <c r="K34" s="23"/>
    </row>
    <row r="35" spans="2:11" ht="14.25" customHeight="1" x14ac:dyDescent="0.2">
      <c r="B35" s="45">
        <v>5.76</v>
      </c>
      <c r="C35" s="3">
        <v>0.87629999999999997</v>
      </c>
      <c r="G35" s="43">
        <f>IF(13&gt;MAX(B$9:B$1048576),"",13)</f>
        <v>13</v>
      </c>
      <c r="H35" s="4">
        <f t="shared" ca="1" si="2"/>
        <v>0.9069865062240664</v>
      </c>
      <c r="I35" s="34">
        <f t="shared" ca="1" si="4"/>
        <v>10.599198615150723</v>
      </c>
      <c r="J35" s="31">
        <f t="shared" si="3"/>
        <v>4.9384615384615388E-2</v>
      </c>
      <c r="K35" s="23"/>
    </row>
    <row r="36" spans="2:11" ht="14.25" customHeight="1" x14ac:dyDescent="0.2">
      <c r="B36" s="45">
        <v>6.2960000000000003</v>
      </c>
      <c r="C36" s="3">
        <v>0.88448000000000004</v>
      </c>
      <c r="G36" s="43">
        <f>IF(14&gt;MAX(B$9:B$1048576),"",14)</f>
        <v>14</v>
      </c>
      <c r="H36" s="4">
        <f t="shared" ca="1" si="2"/>
        <v>0.90782468049792542</v>
      </c>
      <c r="I36" s="34">
        <f t="shared" ca="1" si="4"/>
        <v>10.601444831202887</v>
      </c>
      <c r="J36" s="31">
        <f t="shared" si="3"/>
        <v>4.585714285714286E-2</v>
      </c>
      <c r="K36" s="23"/>
    </row>
    <row r="37" spans="2:11" ht="14.25" customHeight="1" x14ac:dyDescent="0.2">
      <c r="B37" s="45">
        <v>6.883</v>
      </c>
      <c r="C37" s="3">
        <v>0.88922999999999996</v>
      </c>
      <c r="G37" s="43">
        <f>IF(15&gt;MAX(B$9:B$1048576),"",15)</f>
        <v>15</v>
      </c>
      <c r="H37" s="4">
        <f t="shared" ca="1" si="2"/>
        <v>0.90891541381928631</v>
      </c>
      <c r="I37" s="34">
        <f t="shared" ca="1" si="4"/>
        <v>10.604173008289742</v>
      </c>
      <c r="J37" s="31">
        <f t="shared" si="3"/>
        <v>4.2799999999999998E-2</v>
      </c>
      <c r="K37" s="23"/>
    </row>
    <row r="38" spans="2:11" ht="14.25" customHeight="1" x14ac:dyDescent="0.2">
      <c r="B38" s="45">
        <v>7.524</v>
      </c>
      <c r="C38" s="3">
        <v>0.89412999999999998</v>
      </c>
      <c r="G38" s="43">
        <f>IF(16&gt;MAX(B$9:B$1048576),"",16)</f>
        <v>16</v>
      </c>
      <c r="H38" s="4">
        <f t="shared" ca="1" si="2"/>
        <v>0.90967802357836336</v>
      </c>
      <c r="I38" s="34">
        <f t="shared" ca="1" si="4"/>
        <v>10.60596125572685</v>
      </c>
      <c r="J38" s="31">
        <f t="shared" si="3"/>
        <v>4.0125000000000001E-2</v>
      </c>
      <c r="K38" s="23"/>
    </row>
    <row r="39" spans="2:11" ht="14.25" customHeight="1" x14ac:dyDescent="0.2">
      <c r="B39" s="45">
        <v>8.2270000000000003</v>
      </c>
      <c r="C39" s="3">
        <v>0.89792000000000005</v>
      </c>
      <c r="G39" s="43">
        <f>IF(17&gt;MAX(B$9:B$1048576),"",17)</f>
        <v>17</v>
      </c>
      <c r="H39" s="4">
        <f t="shared" ca="1" si="2"/>
        <v>0.91023875079264427</v>
      </c>
      <c r="I39" s="34">
        <f t="shared" ca="1" si="4"/>
        <v>10.607198763537113</v>
      </c>
      <c r="J39" s="31">
        <f t="shared" si="3"/>
        <v>3.7764705882352943E-2</v>
      </c>
      <c r="K39" s="23"/>
    </row>
    <row r="40" spans="2:11" ht="14.25" customHeight="1" x14ac:dyDescent="0.2">
      <c r="B40" s="45">
        <v>8.9949999999999992</v>
      </c>
      <c r="C40" s="3">
        <v>0.90036000000000005</v>
      </c>
      <c r="G40" s="43">
        <f>IF(18&gt;MAX(B$9:B$1048576),"",18)</f>
        <v>18</v>
      </c>
      <c r="H40" s="4">
        <f t="shared" ca="1" si="2"/>
        <v>0.91086018389346857</v>
      </c>
      <c r="I40" s="34">
        <f t="shared" ca="1" si="4"/>
        <v>10.608494053835146</v>
      </c>
      <c r="J40" s="31">
        <f t="shared" si="3"/>
        <v>3.5666666666666666E-2</v>
      </c>
      <c r="K40" s="23"/>
    </row>
    <row r="41" spans="2:11" ht="14.25" customHeight="1" x14ac:dyDescent="0.2">
      <c r="B41" s="45">
        <v>9.8350000000000009</v>
      </c>
      <c r="C41" s="3">
        <v>0.90249000000000001</v>
      </c>
      <c r="G41" s="43">
        <f>IF(19&gt;MAX(B$9:B$1048576),"",19)</f>
        <v>19</v>
      </c>
      <c r="H41" s="4">
        <f t="shared" ca="1" si="2"/>
        <v>0.91173710312862111</v>
      </c>
      <c r="I41" s="34">
        <f t="shared" ca="1" si="4"/>
        <v>10.610225668402814</v>
      </c>
      <c r="J41" s="31">
        <f t="shared" si="3"/>
        <v>3.3789473684210529E-2</v>
      </c>
      <c r="K41" s="23"/>
    </row>
    <row r="42" spans="2:11" ht="14.25" customHeight="1" x14ac:dyDescent="0.2">
      <c r="B42" s="45">
        <v>10.755000000000001</v>
      </c>
      <c r="C42" s="3">
        <v>0.90410000000000001</v>
      </c>
      <c r="G42" s="43">
        <f>IF(20&gt;MAX(B$9:B$1048576),"",20)</f>
        <v>20</v>
      </c>
      <c r="H42" s="4">
        <f t="shared" ca="1" si="2"/>
        <v>0.91278577056778687</v>
      </c>
      <c r="I42" s="34">
        <f t="shared" ca="1" si="4"/>
        <v>10.612192888819964</v>
      </c>
      <c r="J42" s="31">
        <f t="shared" si="3"/>
        <v>3.2100000000000004E-2</v>
      </c>
      <c r="K42" s="23"/>
    </row>
    <row r="43" spans="2:11" ht="14.25" customHeight="1" x14ac:dyDescent="0.2">
      <c r="B43" s="45">
        <v>11.760999999999999</v>
      </c>
      <c r="C43" s="3">
        <v>0.90566999999999998</v>
      </c>
      <c r="G43" s="43">
        <f>IF(21&gt;MAX(B$9:B$1048576),"",21)</f>
        <v>21</v>
      </c>
      <c r="H43" s="4">
        <f t="shared" ca="1" si="2"/>
        <v>0.91340033898305084</v>
      </c>
      <c r="I43" s="34">
        <f t="shared" ca="1" si="4"/>
        <v>10.613290873238855</v>
      </c>
      <c r="J43" s="31">
        <f t="shared" si="3"/>
        <v>3.0571428571428572E-2</v>
      </c>
      <c r="K43" s="23"/>
    </row>
    <row r="44" spans="2:11" ht="14.25" customHeight="1" x14ac:dyDescent="0.2">
      <c r="B44" s="45">
        <v>12.861000000000001</v>
      </c>
      <c r="C44" s="3">
        <v>0.90686999999999995</v>
      </c>
      <c r="G44" s="43">
        <f>IF(22&gt;MAX(B$9:B$1048576),"",22)</f>
        <v>22</v>
      </c>
      <c r="H44" s="4">
        <f t="shared" ca="1" si="2"/>
        <v>0.91395118644067797</v>
      </c>
      <c r="I44" s="34">
        <f t="shared" ca="1" si="4"/>
        <v>10.614230280480765</v>
      </c>
      <c r="J44" s="31">
        <f t="shared" si="3"/>
        <v>2.9181818181818184E-2</v>
      </c>
      <c r="K44" s="23"/>
    </row>
    <row r="45" spans="2:11" ht="14.25" customHeight="1" x14ac:dyDescent="0.2">
      <c r="B45" s="45">
        <v>14.066000000000001</v>
      </c>
      <c r="C45" s="3">
        <v>0.90788000000000002</v>
      </c>
      <c r="G45" s="43">
        <f>IF(23&gt;MAX(B$9:B$1048576),"",23)</f>
        <v>23</v>
      </c>
      <c r="H45" s="4">
        <f ca="1">IF(G45&gt;(MAX(B$9:B$1048576)),"",IF(G45&lt;MIN(B$9:B$1048576),TREND(C44:C45,B44:B45,G45),FORECAST(G45,OFFSET(KnownY,MATCH(G45,KnownX,1)-1,0,2),OFFSET(KnownX,MATCH(G45,KnownX,1)-1,0,2))))</f>
        <v>0.91456011616650534</v>
      </c>
      <c r="I45" s="34">
        <f t="shared" ca="1" si="4"/>
        <v>10.615223589947716</v>
      </c>
      <c r="J45" s="31">
        <f t="shared" si="3"/>
        <v>2.791304347826087E-2</v>
      </c>
      <c r="K45" s="23"/>
    </row>
    <row r="46" spans="2:11" ht="14.25" customHeight="1" x14ac:dyDescent="0.2">
      <c r="B46" s="45">
        <v>15.382999999999999</v>
      </c>
      <c r="C46" s="3">
        <v>0.90934000000000004</v>
      </c>
      <c r="G46" s="43">
        <f>IF(24&gt;MAX(B$9:B$1048576),"",24)</f>
        <v>24</v>
      </c>
      <c r="H46" s="4">
        <f t="shared" ca="1" si="2"/>
        <v>0.91516999031945789</v>
      </c>
      <c r="I46" s="34">
        <f t="shared" ca="1" si="4"/>
        <v>10.616176987914802</v>
      </c>
      <c r="J46" s="31">
        <f t="shared" si="3"/>
        <v>2.6749999999999999E-2</v>
      </c>
      <c r="K46" s="23"/>
    </row>
    <row r="47" spans="2:11" ht="14.25" customHeight="1" x14ac:dyDescent="0.2">
      <c r="B47" s="45">
        <v>16.824999999999999</v>
      </c>
      <c r="C47" s="3">
        <v>0.91012999999999999</v>
      </c>
      <c r="G47" s="43">
        <f>IF(25&gt;MAX(B$9:B$1048576),"",25)</f>
        <v>25</v>
      </c>
      <c r="H47" s="4">
        <f t="shared" ca="1" si="2"/>
        <v>0.9159224060150376</v>
      </c>
      <c r="I47" s="34">
        <f t="shared" ca="1" si="4"/>
        <v>10.617306167643854</v>
      </c>
      <c r="J47" s="31">
        <f t="shared" si="3"/>
        <v>2.5680000000000001E-2</v>
      </c>
      <c r="K47" s="23"/>
    </row>
    <row r="48" spans="2:11" ht="14.25" customHeight="1" x14ac:dyDescent="0.2">
      <c r="B48" s="45">
        <v>18.402000000000001</v>
      </c>
      <c r="C48" s="3">
        <v>0.91110999999999998</v>
      </c>
      <c r="G48" s="43">
        <f>IF(26&gt;MAX(B$9:B$1048576),"",26)</f>
        <v>26</v>
      </c>
      <c r="H48" s="4">
        <f t="shared" ca="1" si="2"/>
        <v>0.9166875541795666</v>
      </c>
      <c r="I48" s="34">
        <f t="shared" ca="1" si="4"/>
        <v>10.618410290571081</v>
      </c>
      <c r="J48" s="31">
        <f t="shared" si="3"/>
        <v>2.4692307692307694E-2</v>
      </c>
      <c r="K48" s="23"/>
    </row>
    <row r="49" spans="2:11" ht="14.25" customHeight="1" x14ac:dyDescent="0.2">
      <c r="B49" s="45">
        <v>20.128</v>
      </c>
      <c r="C49" s="3">
        <v>0.91291999999999995</v>
      </c>
      <c r="G49" s="43">
        <f>IF(27&gt;MAX(B$9:B$1048576),"",27)</f>
        <v>27</v>
      </c>
      <c r="H49" s="4">
        <f t="shared" ca="1" si="2"/>
        <v>0.91723957945814794</v>
      </c>
      <c r="I49" s="34">
        <f t="shared" ca="1" si="4"/>
        <v>10.619177370177523</v>
      </c>
      <c r="J49" s="31">
        <f t="shared" si="3"/>
        <v>2.377777777777778E-2</v>
      </c>
      <c r="K49" s="23"/>
    </row>
    <row r="50" spans="2:11" ht="14.25" customHeight="1" x14ac:dyDescent="0.2">
      <c r="B50" s="45">
        <v>22.015999999999998</v>
      </c>
      <c r="C50" s="3">
        <v>0.91395999999999999</v>
      </c>
      <c r="G50" s="43">
        <f>IF(28&gt;MAX(B$9:B$1048576),"",28)</f>
        <v>28</v>
      </c>
      <c r="H50" s="4">
        <f t="shared" ca="1" si="2"/>
        <v>0.91768033966841889</v>
      </c>
      <c r="I50" s="34">
        <f t="shared" ca="1" si="4"/>
        <v>10.619767964932302</v>
      </c>
      <c r="J50" s="31">
        <f t="shared" si="3"/>
        <v>2.292857142857143E-2</v>
      </c>
      <c r="K50" s="23"/>
    </row>
    <row r="51" spans="2:11" ht="14.25" customHeight="1" x14ac:dyDescent="0.2">
      <c r="B51" s="45">
        <v>24.082000000000001</v>
      </c>
      <c r="C51" s="3">
        <v>0.91522000000000003</v>
      </c>
      <c r="G51" s="43">
        <f>IF(29&gt;MAX(B$9:B$1048576),"",29)</f>
        <v>29</v>
      </c>
      <c r="H51" s="4">
        <f t="shared" ca="1" si="2"/>
        <v>0.91811275683665916</v>
      </c>
      <c r="I51" s="34">
        <f t="shared" ca="1" si="4"/>
        <v>10.620327400617761</v>
      </c>
      <c r="J51" s="31">
        <f t="shared" si="3"/>
        <v>2.213793103448276E-2</v>
      </c>
      <c r="K51" s="23"/>
    </row>
    <row r="52" spans="2:11" ht="14.25" customHeight="1" thickBot="1" x14ac:dyDescent="0.25">
      <c r="B52" s="45">
        <v>26.343</v>
      </c>
      <c r="C52" s="3">
        <v>0.91695000000000004</v>
      </c>
      <c r="G52" s="44">
        <f>IF(30&gt;MAX(B$9:B$1048576),"",30)</f>
        <v>30</v>
      </c>
      <c r="H52" s="5">
        <f t="shared" ca="1" si="2"/>
        <v>0.91850817442719879</v>
      </c>
      <c r="I52" s="35">
        <f t="shared" ca="1" si="4"/>
        <v>10.620821916183171</v>
      </c>
      <c r="J52" s="37">
        <f t="shared" si="3"/>
        <v>2.1399999999999999E-2</v>
      </c>
      <c r="K52" s="23"/>
    </row>
    <row r="53" spans="2:11" ht="14.25" customHeight="1" x14ac:dyDescent="0.2">
      <c r="B53" s="45">
        <v>28.815999999999999</v>
      </c>
      <c r="C53" s="3">
        <v>0.91803999999999997</v>
      </c>
      <c r="G53" s="24"/>
      <c r="H53" s="24"/>
      <c r="I53" s="24"/>
      <c r="J53" s="24"/>
      <c r="K53" s="24"/>
    </row>
    <row r="54" spans="2:11" ht="14.25" customHeight="1" x14ac:dyDescent="0.2">
      <c r="B54" s="45">
        <v>31.521999999999998</v>
      </c>
      <c r="C54" s="3">
        <v>0.91910999999999998</v>
      </c>
      <c r="G54" s="24"/>
      <c r="H54" s="24"/>
      <c r="I54" s="24"/>
      <c r="J54" s="24"/>
      <c r="K54" s="24"/>
    </row>
    <row r="55" spans="2:11" ht="14.25" customHeight="1" x14ac:dyDescent="0.2">
      <c r="B55" s="45">
        <v>34.481999999999999</v>
      </c>
      <c r="C55" s="3">
        <v>0.92066999999999999</v>
      </c>
      <c r="G55" s="24"/>
      <c r="H55" s="24"/>
      <c r="I55" s="24"/>
      <c r="J55" s="24"/>
      <c r="K55" s="24"/>
    </row>
    <row r="56" spans="2:11" ht="14.25" customHeight="1" x14ac:dyDescent="0.2">
      <c r="B56" s="45"/>
      <c r="C56" s="3"/>
      <c r="G56" s="24"/>
      <c r="H56" s="24"/>
      <c r="I56" s="24"/>
      <c r="J56" s="24"/>
      <c r="K56" s="24"/>
    </row>
    <row r="57" spans="2:11" ht="14.25" customHeight="1" x14ac:dyDescent="0.2">
      <c r="B57" s="21"/>
      <c r="C57" s="3"/>
      <c r="G57" s="15"/>
      <c r="H57" s="14"/>
      <c r="I57" s="14"/>
      <c r="J57" s="23"/>
      <c r="K57" s="23"/>
    </row>
    <row r="58" spans="2:11" ht="14.25" customHeight="1" x14ac:dyDescent="0.2">
      <c r="B58" s="21"/>
      <c r="C58" s="3"/>
      <c r="G58" s="15"/>
      <c r="H58" s="14"/>
      <c r="I58" s="14"/>
    </row>
    <row r="59" spans="2:11" ht="14.25" customHeight="1" x14ac:dyDescent="0.2">
      <c r="B59" s="21"/>
      <c r="C59" s="3"/>
      <c r="G59" s="15"/>
      <c r="H59" s="14"/>
      <c r="I59" s="14"/>
    </row>
    <row r="60" spans="2:11" ht="14.25" customHeight="1" x14ac:dyDescent="0.2">
      <c r="B60" s="21"/>
      <c r="C60" s="3"/>
      <c r="G60" s="15"/>
      <c r="H60" s="14"/>
      <c r="I60" s="14"/>
    </row>
    <row r="61" spans="2:11" ht="14.25" customHeight="1" x14ac:dyDescent="0.2">
      <c r="B61" s="21"/>
      <c r="C61" s="3"/>
      <c r="G61" s="15"/>
      <c r="H61" s="14"/>
      <c r="I61" s="14"/>
    </row>
    <row r="62" spans="2:11" ht="14.25" customHeight="1" x14ac:dyDescent="0.2">
      <c r="B62" s="21"/>
      <c r="C62" s="3"/>
      <c r="G62" s="15"/>
      <c r="H62" s="14"/>
      <c r="I62" s="14"/>
    </row>
    <row r="63" spans="2:11" ht="14.25" customHeight="1" x14ac:dyDescent="0.2">
      <c r="B63" s="21"/>
      <c r="C63" s="3"/>
      <c r="G63" s="15"/>
      <c r="H63" s="14"/>
      <c r="I63" s="14"/>
    </row>
    <row r="64" spans="2:11" ht="14.25" customHeight="1" x14ac:dyDescent="0.2">
      <c r="B64" s="21"/>
      <c r="C64" s="3"/>
      <c r="G64" s="15"/>
      <c r="H64" s="14"/>
      <c r="I64" s="14"/>
    </row>
    <row r="65" spans="2:9" ht="14.25" customHeight="1" x14ac:dyDescent="0.2">
      <c r="B65" s="21"/>
      <c r="C65" s="3"/>
      <c r="G65" s="15"/>
      <c r="H65" s="14"/>
      <c r="I65" s="14"/>
    </row>
    <row r="66" spans="2:9" ht="14.25" customHeight="1" x14ac:dyDescent="0.2">
      <c r="B66" s="21"/>
      <c r="C66" s="3"/>
      <c r="G66" s="15"/>
      <c r="H66" s="14"/>
      <c r="I66" s="14"/>
    </row>
    <row r="67" spans="2:9" ht="14.25" customHeight="1" x14ac:dyDescent="0.2">
      <c r="B67" s="21"/>
      <c r="C67" s="3"/>
      <c r="G67" s="15"/>
      <c r="H67" s="14"/>
      <c r="I67" s="14"/>
    </row>
    <row r="68" spans="2:9" ht="14.25" customHeight="1" x14ac:dyDescent="0.2">
      <c r="B68" s="21"/>
      <c r="C68" s="3"/>
      <c r="G68" s="15"/>
      <c r="H68" s="14"/>
      <c r="I68" s="14"/>
    </row>
    <row r="69" spans="2:9" ht="14.25" customHeight="1" x14ac:dyDescent="0.2">
      <c r="B69" s="21"/>
      <c r="C69" s="3"/>
      <c r="G69" s="15"/>
      <c r="H69" s="14"/>
      <c r="I69" s="14"/>
    </row>
    <row r="70" spans="2:9" ht="14.25" customHeight="1" x14ac:dyDescent="0.2">
      <c r="B70" s="21"/>
      <c r="C70" s="3"/>
      <c r="G70" s="15"/>
      <c r="H70" s="14"/>
      <c r="I70" s="14"/>
    </row>
    <row r="71" spans="2:9" ht="14.25" customHeight="1" x14ac:dyDescent="0.2">
      <c r="B71" s="21"/>
      <c r="C71" s="3"/>
      <c r="G71" s="15"/>
      <c r="H71" s="14"/>
      <c r="I71" s="14"/>
    </row>
    <row r="72" spans="2:9" ht="14.25" customHeight="1" x14ac:dyDescent="0.2">
      <c r="B72" s="21"/>
      <c r="C72" s="3"/>
      <c r="G72" s="15"/>
      <c r="H72" s="14"/>
      <c r="I72" s="14"/>
    </row>
    <row r="73" spans="2:9" ht="14.25" customHeight="1" x14ac:dyDescent="0.2">
      <c r="B73" s="21"/>
      <c r="C73" s="3"/>
      <c r="G73" s="15"/>
      <c r="H73" s="14"/>
      <c r="I73" s="14"/>
    </row>
    <row r="74" spans="2:9" ht="14.25" customHeight="1" x14ac:dyDescent="0.2">
      <c r="B74" s="21"/>
      <c r="C74" s="3"/>
      <c r="G74" s="15"/>
      <c r="H74" s="14"/>
      <c r="I74" s="14"/>
    </row>
    <row r="75" spans="2:9" ht="14.25" customHeight="1" x14ac:dyDescent="0.2">
      <c r="B75" s="21"/>
      <c r="C75" s="3"/>
      <c r="G75" s="15"/>
      <c r="H75" s="14"/>
      <c r="I75" s="14"/>
    </row>
    <row r="76" spans="2:9" ht="14.25" customHeight="1" x14ac:dyDescent="0.2">
      <c r="B76" s="21"/>
      <c r="C76" s="3"/>
      <c r="G76" s="15"/>
      <c r="H76" s="14"/>
      <c r="I76" s="14"/>
    </row>
    <row r="77" spans="2:9" ht="14.25" customHeight="1" x14ac:dyDescent="0.2">
      <c r="B77" s="21"/>
      <c r="C77" s="3"/>
      <c r="G77" s="15"/>
      <c r="H77" s="14"/>
      <c r="I77" s="14"/>
    </row>
    <row r="78" spans="2:9" ht="14.25" customHeight="1" x14ac:dyDescent="0.2">
      <c r="B78" s="21"/>
      <c r="C78" s="3"/>
      <c r="G78" s="15"/>
      <c r="H78" s="14"/>
      <c r="I78" s="14"/>
    </row>
    <row r="79" spans="2:9" ht="14.25" customHeight="1" x14ac:dyDescent="0.2">
      <c r="B79" s="21"/>
      <c r="C79" s="3"/>
      <c r="G79" s="15"/>
      <c r="H79" s="14"/>
      <c r="I79" s="14"/>
    </row>
    <row r="80" spans="2:9" ht="14.25" customHeight="1" x14ac:dyDescent="0.2">
      <c r="B80" s="21"/>
      <c r="C80" s="3"/>
      <c r="G80" s="15"/>
      <c r="H80" s="14"/>
      <c r="I80" s="14"/>
    </row>
    <row r="81" spans="2:9" ht="14.25" customHeight="1" x14ac:dyDescent="0.2">
      <c r="B81" s="21"/>
      <c r="C81" s="3"/>
      <c r="G81" s="15"/>
      <c r="H81" s="14"/>
      <c r="I81" s="14"/>
    </row>
    <row r="82" spans="2:9" ht="14.25" customHeight="1" x14ac:dyDescent="0.2">
      <c r="B82" s="21"/>
      <c r="C82" s="3"/>
      <c r="G82" s="15"/>
      <c r="H82" s="14"/>
      <c r="I82" s="14"/>
    </row>
    <row r="83" spans="2:9" ht="14.25" customHeight="1" x14ac:dyDescent="0.2">
      <c r="B83" s="21"/>
      <c r="C83" s="3"/>
      <c r="G83" s="15"/>
      <c r="H83" s="14"/>
      <c r="I83" s="14"/>
    </row>
    <row r="84" spans="2:9" ht="14.25" customHeight="1" x14ac:dyDescent="0.2">
      <c r="B84" s="21"/>
      <c r="C84" s="3"/>
      <c r="G84" s="15"/>
      <c r="H84" s="14"/>
      <c r="I84" s="14"/>
    </row>
    <row r="85" spans="2:9" ht="14.25" customHeight="1" thickBot="1" x14ac:dyDescent="0.25">
      <c r="B85" s="19"/>
      <c r="C85" s="6"/>
      <c r="G85" s="15"/>
      <c r="H85" s="14"/>
      <c r="I85" s="14"/>
    </row>
    <row r="86" spans="2:9" ht="14.25" customHeight="1" x14ac:dyDescent="0.2">
      <c r="G86" s="15"/>
      <c r="H86" s="14"/>
      <c r="I86" s="14"/>
    </row>
    <row r="87" spans="2:9" ht="14.25" customHeight="1" x14ac:dyDescent="0.2">
      <c r="G87" s="15"/>
      <c r="H87" s="14"/>
      <c r="I87" s="14"/>
    </row>
    <row r="88" spans="2:9" ht="14.25" customHeight="1" x14ac:dyDescent="0.2">
      <c r="G88" s="15"/>
      <c r="H88" s="14"/>
      <c r="I88" s="14"/>
    </row>
    <row r="89" spans="2:9" ht="14.25" customHeight="1" x14ac:dyDescent="0.2">
      <c r="G89" s="15"/>
      <c r="H89" s="14"/>
      <c r="I89" s="14"/>
    </row>
    <row r="90" spans="2:9" ht="14.25" customHeight="1" x14ac:dyDescent="0.2">
      <c r="G90" s="15"/>
      <c r="H90" s="14"/>
      <c r="I90" s="14"/>
    </row>
    <row r="91" spans="2:9" ht="14.25" customHeight="1" x14ac:dyDescent="0.2">
      <c r="G91" s="15"/>
      <c r="H91" s="14"/>
      <c r="I91" s="14"/>
    </row>
    <row r="92" spans="2:9" ht="14.25" customHeight="1" x14ac:dyDescent="0.2">
      <c r="G92" s="15"/>
      <c r="H92" s="14"/>
      <c r="I92" s="14"/>
    </row>
    <row r="93" spans="2:9" ht="14.25" customHeight="1" x14ac:dyDescent="0.2">
      <c r="G93" s="15"/>
      <c r="H93" s="14"/>
      <c r="I93" s="14"/>
    </row>
    <row r="94" spans="2:9" ht="14.25" customHeight="1" x14ac:dyDescent="0.2">
      <c r="G94" s="15"/>
      <c r="H94" s="14"/>
      <c r="I94" s="14"/>
    </row>
    <row r="95" spans="2:9" ht="14.25" customHeight="1" x14ac:dyDescent="0.2">
      <c r="G95" s="15"/>
      <c r="H95" s="14"/>
      <c r="I95" s="14"/>
    </row>
    <row r="96" spans="2:9" ht="14.25" customHeight="1" x14ac:dyDescent="0.2">
      <c r="G96" s="15"/>
      <c r="H96" s="14"/>
      <c r="I96" s="14"/>
    </row>
    <row r="97" spans="2:9" ht="14.25" customHeight="1" x14ac:dyDescent="0.2">
      <c r="G97" s="15"/>
      <c r="H97" s="14"/>
      <c r="I97" s="14"/>
    </row>
    <row r="98" spans="2:9" ht="14.25" customHeight="1" x14ac:dyDescent="0.2">
      <c r="G98" s="15"/>
      <c r="H98" s="14"/>
      <c r="I98" s="14"/>
    </row>
    <row r="99" spans="2:9" ht="14.25" customHeight="1" x14ac:dyDescent="0.2">
      <c r="B99" s="16"/>
      <c r="G99" s="15"/>
      <c r="H99" s="14"/>
      <c r="I99" s="14"/>
    </row>
    <row r="100" spans="2:9" ht="14.25" customHeight="1" x14ac:dyDescent="0.2">
      <c r="C100" s="17"/>
      <c r="G100" s="15"/>
      <c r="H100" s="14"/>
      <c r="I100" s="14"/>
    </row>
    <row r="101" spans="2:9" ht="14.25" customHeight="1" x14ac:dyDescent="0.2">
      <c r="G101" s="15"/>
      <c r="H101" s="14"/>
      <c r="I101" s="14"/>
    </row>
    <row r="102" spans="2:9" ht="14.25" customHeight="1" x14ac:dyDescent="0.2">
      <c r="G102" s="15"/>
      <c r="H102" s="14"/>
      <c r="I102" s="14"/>
    </row>
    <row r="103" spans="2:9" ht="14.25" customHeight="1" x14ac:dyDescent="0.2">
      <c r="G103" s="15"/>
      <c r="H103" s="14"/>
      <c r="I103" s="14"/>
    </row>
    <row r="104" spans="2:9" ht="14.25" customHeight="1" x14ac:dyDescent="0.2">
      <c r="G104" s="15"/>
      <c r="H104" s="14"/>
      <c r="I104" s="14"/>
    </row>
    <row r="105" spans="2:9" ht="14.25" customHeight="1" x14ac:dyDescent="0.2">
      <c r="G105" s="15"/>
      <c r="H105" s="14"/>
      <c r="I105" s="14"/>
    </row>
    <row r="106" spans="2:9" ht="14.25" customHeight="1" x14ac:dyDescent="0.2">
      <c r="G106" s="15"/>
      <c r="H106" s="14"/>
      <c r="I106" s="14"/>
    </row>
    <row r="107" spans="2:9" ht="14.25" customHeight="1" x14ac:dyDescent="0.2">
      <c r="G107" s="15"/>
      <c r="H107" s="14"/>
      <c r="I107" s="14"/>
    </row>
    <row r="108" spans="2:9" ht="14.25" customHeight="1" x14ac:dyDescent="0.2">
      <c r="G108" s="15"/>
      <c r="H108" s="14"/>
      <c r="I108" s="14"/>
    </row>
    <row r="109" spans="2:9" ht="14.25" customHeight="1" x14ac:dyDescent="0.2">
      <c r="G109" s="15"/>
      <c r="H109" s="14"/>
      <c r="I109" s="14"/>
    </row>
    <row r="110" spans="2:9" x14ac:dyDescent="0.2">
      <c r="G110" s="15"/>
      <c r="H110" s="14"/>
      <c r="I110" s="14"/>
    </row>
    <row r="111" spans="2:9" x14ac:dyDescent="0.2">
      <c r="G111" s="15"/>
      <c r="H111" s="14"/>
      <c r="I111" s="14"/>
    </row>
    <row r="112" spans="2:9" x14ac:dyDescent="0.2">
      <c r="G112" s="15"/>
      <c r="H112" s="14"/>
      <c r="I112" s="14"/>
    </row>
    <row r="113" spans="7:9" x14ac:dyDescent="0.2">
      <c r="G113" s="15"/>
      <c r="H113" s="14"/>
      <c r="I113" s="14"/>
    </row>
    <row r="114" spans="7:9" x14ac:dyDescent="0.2">
      <c r="G114" s="15"/>
      <c r="H114" s="14"/>
      <c r="I114" s="14"/>
    </row>
    <row r="115" spans="7:9" x14ac:dyDescent="0.2">
      <c r="G115" s="15"/>
      <c r="H115" s="14"/>
      <c r="I115" s="14"/>
    </row>
    <row r="116" spans="7:9" x14ac:dyDescent="0.2">
      <c r="G116" s="15"/>
      <c r="H116" s="14"/>
      <c r="I116" s="14"/>
    </row>
    <row r="117" spans="7:9" x14ac:dyDescent="0.2">
      <c r="G117" s="15"/>
      <c r="H117" s="14"/>
      <c r="I117" s="14"/>
    </row>
    <row r="118" spans="7:9" x14ac:dyDescent="0.2">
      <c r="G118" s="15"/>
      <c r="H118" s="14"/>
      <c r="I118" s="14"/>
    </row>
    <row r="119" spans="7:9" x14ac:dyDescent="0.2">
      <c r="G119" s="15"/>
      <c r="H119" s="14"/>
      <c r="I119" s="14"/>
    </row>
    <row r="120" spans="7:9" x14ac:dyDescent="0.2">
      <c r="G120" s="15"/>
      <c r="H120" s="14"/>
      <c r="I120" s="14"/>
    </row>
    <row r="121" spans="7:9" x14ac:dyDescent="0.2">
      <c r="G121" s="15"/>
      <c r="H121" s="14"/>
      <c r="I121" s="14"/>
    </row>
    <row r="122" spans="7:9" x14ac:dyDescent="0.2">
      <c r="G122" s="15"/>
      <c r="H122" s="14"/>
      <c r="I122" s="14"/>
    </row>
    <row r="123" spans="7:9" x14ac:dyDescent="0.2">
      <c r="G123" s="15"/>
      <c r="H123" s="14"/>
      <c r="I123" s="14"/>
    </row>
    <row r="124" spans="7:9" x14ac:dyDescent="0.2">
      <c r="G124" s="15"/>
      <c r="H124" s="14"/>
      <c r="I124" s="14"/>
    </row>
    <row r="125" spans="7:9" x14ac:dyDescent="0.2">
      <c r="G125" s="15"/>
      <c r="H125" s="14"/>
      <c r="I125" s="14"/>
    </row>
    <row r="126" spans="7:9" x14ac:dyDescent="0.2">
      <c r="G126" s="15"/>
      <c r="H126" s="14"/>
      <c r="I126" s="14"/>
    </row>
    <row r="127" spans="7:9" x14ac:dyDescent="0.2">
      <c r="G127" s="15"/>
      <c r="H127" s="14"/>
      <c r="I127" s="14"/>
    </row>
    <row r="128" spans="7:9" x14ac:dyDescent="0.2">
      <c r="G128" s="15"/>
      <c r="H128" s="14"/>
      <c r="I128" s="14"/>
    </row>
    <row r="129" spans="7:9" x14ac:dyDescent="0.2">
      <c r="G129" s="15"/>
      <c r="H129" s="14"/>
      <c r="I129" s="14"/>
    </row>
    <row r="130" spans="7:9" x14ac:dyDescent="0.2">
      <c r="G130" s="15"/>
      <c r="H130" s="14"/>
      <c r="I130" s="14"/>
    </row>
    <row r="131" spans="7:9" x14ac:dyDescent="0.2">
      <c r="G131" s="15"/>
      <c r="H131" s="14"/>
      <c r="I131" s="14"/>
    </row>
    <row r="132" spans="7:9" x14ac:dyDescent="0.2">
      <c r="G132" s="15"/>
      <c r="H132" s="14"/>
      <c r="I132" s="14"/>
    </row>
    <row r="133" spans="7:9" x14ac:dyDescent="0.2">
      <c r="G133" s="15"/>
      <c r="H133" s="14"/>
      <c r="I133" s="14"/>
    </row>
    <row r="134" spans="7:9" x14ac:dyDescent="0.2">
      <c r="G134" s="15"/>
      <c r="H134" s="14"/>
      <c r="I134" s="14"/>
    </row>
    <row r="135" spans="7:9" x14ac:dyDescent="0.2">
      <c r="G135" s="15"/>
      <c r="H135" s="14"/>
      <c r="I135" s="14"/>
    </row>
    <row r="136" spans="7:9" x14ac:dyDescent="0.2">
      <c r="G136" s="15"/>
      <c r="H136" s="14"/>
      <c r="I136" s="14"/>
    </row>
    <row r="137" spans="7:9" x14ac:dyDescent="0.2">
      <c r="G137" s="15"/>
      <c r="H137" s="14"/>
      <c r="I137" s="14"/>
    </row>
    <row r="138" spans="7:9" x14ac:dyDescent="0.2">
      <c r="G138" s="15"/>
      <c r="H138" s="14"/>
      <c r="I138" s="14"/>
    </row>
    <row r="139" spans="7:9" x14ac:dyDescent="0.2">
      <c r="G139" s="15"/>
      <c r="H139" s="14"/>
      <c r="I139" s="14"/>
    </row>
    <row r="140" spans="7:9" x14ac:dyDescent="0.2">
      <c r="G140" s="15"/>
      <c r="H140" s="14"/>
      <c r="I140" s="14"/>
    </row>
    <row r="141" spans="7:9" x14ac:dyDescent="0.2">
      <c r="G141" s="15"/>
      <c r="H141" s="14"/>
      <c r="I141" s="14"/>
    </row>
    <row r="142" spans="7:9" x14ac:dyDescent="0.2">
      <c r="G142" s="15"/>
      <c r="H142" s="14"/>
      <c r="I142" s="14"/>
    </row>
    <row r="143" spans="7:9" x14ac:dyDescent="0.2">
      <c r="G143" s="15"/>
      <c r="H143" s="14"/>
      <c r="I143" s="14"/>
    </row>
    <row r="144" spans="7:9" x14ac:dyDescent="0.2">
      <c r="G144" s="15"/>
      <c r="H144" s="14"/>
      <c r="I144" s="14"/>
    </row>
    <row r="145" spans="7:9" x14ac:dyDescent="0.2">
      <c r="G145" s="15"/>
      <c r="H145" s="14"/>
      <c r="I145" s="14"/>
    </row>
    <row r="146" spans="7:9" x14ac:dyDescent="0.2">
      <c r="G146" s="15"/>
      <c r="H146" s="14"/>
      <c r="I146" s="14"/>
    </row>
    <row r="147" spans="7:9" x14ac:dyDescent="0.2">
      <c r="G147" s="15"/>
      <c r="H147" s="14"/>
      <c r="I147" s="14"/>
    </row>
    <row r="148" spans="7:9" x14ac:dyDescent="0.2">
      <c r="G148" s="15"/>
      <c r="H148" s="14"/>
      <c r="I148" s="14"/>
    </row>
    <row r="149" spans="7:9" x14ac:dyDescent="0.2">
      <c r="G149" s="15"/>
      <c r="H149" s="14"/>
      <c r="I149" s="14"/>
    </row>
    <row r="150" spans="7:9" x14ac:dyDescent="0.2">
      <c r="G150" s="15"/>
      <c r="H150" s="14"/>
      <c r="I150" s="14"/>
    </row>
    <row r="151" spans="7:9" x14ac:dyDescent="0.2">
      <c r="G151" s="15"/>
      <c r="H151" s="14"/>
      <c r="I151" s="14"/>
    </row>
    <row r="152" spans="7:9" x14ac:dyDescent="0.2">
      <c r="G152" s="15"/>
      <c r="H152" s="14"/>
      <c r="I152" s="14"/>
    </row>
    <row r="153" spans="7:9" x14ac:dyDescent="0.2">
      <c r="G153" s="15"/>
      <c r="H153" s="14"/>
      <c r="I153" s="14"/>
    </row>
    <row r="154" spans="7:9" x14ac:dyDescent="0.2">
      <c r="G154" s="15"/>
      <c r="H154" s="14"/>
      <c r="I154" s="14"/>
    </row>
    <row r="155" spans="7:9" x14ac:dyDescent="0.2">
      <c r="G155" s="15"/>
      <c r="H155" s="14"/>
      <c r="I155" s="14"/>
    </row>
    <row r="156" spans="7:9" x14ac:dyDescent="0.2">
      <c r="G156" s="15"/>
      <c r="H156" s="14"/>
      <c r="I156" s="14"/>
    </row>
    <row r="157" spans="7:9" x14ac:dyDescent="0.2">
      <c r="G157" s="15"/>
      <c r="H157" s="14"/>
      <c r="I157" s="14"/>
    </row>
    <row r="158" spans="7:9" x14ac:dyDescent="0.2">
      <c r="G158" s="15"/>
      <c r="H158" s="14"/>
      <c r="I158" s="14"/>
    </row>
    <row r="159" spans="7:9" x14ac:dyDescent="0.2">
      <c r="G159" s="15"/>
      <c r="H159" s="14"/>
      <c r="I159" s="14"/>
    </row>
    <row r="160" spans="7:9" x14ac:dyDescent="0.2">
      <c r="G160" s="15"/>
      <c r="H160" s="14"/>
      <c r="I160" s="14"/>
    </row>
    <row r="161" spans="7:9" x14ac:dyDescent="0.2">
      <c r="G161" s="15"/>
      <c r="H161" s="14"/>
      <c r="I161" s="14"/>
    </row>
    <row r="162" spans="7:9" x14ac:dyDescent="0.2">
      <c r="G162" s="15"/>
      <c r="H162" s="14"/>
      <c r="I162" s="14"/>
    </row>
    <row r="163" spans="7:9" x14ac:dyDescent="0.2">
      <c r="G163" s="15"/>
      <c r="H163" s="14"/>
      <c r="I163" s="14"/>
    </row>
    <row r="164" spans="7:9" x14ac:dyDescent="0.2">
      <c r="G164" s="15"/>
      <c r="H164" s="14"/>
      <c r="I164" s="14"/>
    </row>
    <row r="165" spans="7:9" x14ac:dyDescent="0.2">
      <c r="G165" s="15"/>
      <c r="H165" s="14"/>
      <c r="I165" s="14"/>
    </row>
    <row r="166" spans="7:9" x14ac:dyDescent="0.2">
      <c r="G166" s="15"/>
      <c r="H166" s="14"/>
      <c r="I166" s="14"/>
    </row>
    <row r="167" spans="7:9" x14ac:dyDescent="0.2">
      <c r="G167" s="15"/>
      <c r="H167" s="14"/>
      <c r="I167" s="14"/>
    </row>
    <row r="168" spans="7:9" x14ac:dyDescent="0.2">
      <c r="G168" s="15"/>
      <c r="H168" s="14"/>
      <c r="I168" s="14"/>
    </row>
    <row r="169" spans="7:9" x14ac:dyDescent="0.2">
      <c r="G169" s="15"/>
      <c r="H169" s="14"/>
      <c r="I169" s="14"/>
    </row>
    <row r="170" spans="7:9" x14ac:dyDescent="0.2">
      <c r="G170" s="15"/>
      <c r="H170" s="14"/>
      <c r="I170" s="14"/>
    </row>
    <row r="171" spans="7:9" x14ac:dyDescent="0.2">
      <c r="G171" s="15"/>
      <c r="H171" s="14"/>
      <c r="I171" s="14"/>
    </row>
    <row r="172" spans="7:9" x14ac:dyDescent="0.2">
      <c r="G172" s="15"/>
      <c r="H172" s="14"/>
      <c r="I172" s="14"/>
    </row>
    <row r="173" spans="7:9" x14ac:dyDescent="0.2">
      <c r="G173" s="15"/>
      <c r="H173" s="14"/>
      <c r="I173" s="14"/>
    </row>
    <row r="174" spans="7:9" x14ac:dyDescent="0.2">
      <c r="G174" s="15"/>
      <c r="H174" s="14"/>
      <c r="I174" s="14"/>
    </row>
    <row r="175" spans="7:9" x14ac:dyDescent="0.2">
      <c r="G175" s="15"/>
      <c r="H175" s="14"/>
      <c r="I175" s="14"/>
    </row>
    <row r="176" spans="7:9" x14ac:dyDescent="0.2">
      <c r="G176" s="15"/>
      <c r="H176" s="14"/>
      <c r="I176" s="14"/>
    </row>
    <row r="177" spans="7:9" x14ac:dyDescent="0.2">
      <c r="G177" s="15"/>
      <c r="H177" s="14"/>
      <c r="I177" s="14"/>
    </row>
    <row r="178" spans="7:9" x14ac:dyDescent="0.2">
      <c r="G178" s="15"/>
      <c r="H178" s="14"/>
      <c r="I178" s="14"/>
    </row>
    <row r="179" spans="7:9" x14ac:dyDescent="0.2">
      <c r="G179" s="15"/>
      <c r="H179" s="14"/>
      <c r="I179" s="14"/>
    </row>
    <row r="180" spans="7:9" x14ac:dyDescent="0.2">
      <c r="G180" s="15"/>
      <c r="H180" s="14"/>
      <c r="I180" s="14"/>
    </row>
    <row r="181" spans="7:9" x14ac:dyDescent="0.2">
      <c r="G181" s="15"/>
      <c r="H181" s="14"/>
      <c r="I181" s="14"/>
    </row>
    <row r="182" spans="7:9" x14ac:dyDescent="0.2">
      <c r="G182" s="15"/>
      <c r="H182" s="14"/>
      <c r="I182" s="14"/>
    </row>
    <row r="183" spans="7:9" x14ac:dyDescent="0.2">
      <c r="G183" s="15"/>
      <c r="H183" s="14"/>
      <c r="I183" s="14"/>
    </row>
    <row r="184" spans="7:9" x14ac:dyDescent="0.2">
      <c r="G184" s="15"/>
      <c r="H184" s="14"/>
      <c r="I184" s="14"/>
    </row>
    <row r="185" spans="7:9" x14ac:dyDescent="0.2">
      <c r="G185" s="15"/>
      <c r="H185" s="14"/>
      <c r="I185" s="14"/>
    </row>
    <row r="186" spans="7:9" x14ac:dyDescent="0.2">
      <c r="G186" s="15"/>
      <c r="H186" s="14"/>
      <c r="I186" s="14"/>
    </row>
    <row r="187" spans="7:9" x14ac:dyDescent="0.2">
      <c r="G187" s="15"/>
      <c r="H187" s="14"/>
      <c r="I187" s="14"/>
    </row>
    <row r="188" spans="7:9" x14ac:dyDescent="0.2">
      <c r="G188" s="15"/>
      <c r="H188" s="14"/>
      <c r="I188" s="14"/>
    </row>
    <row r="189" spans="7:9" x14ac:dyDescent="0.2">
      <c r="G189" s="15"/>
      <c r="H189" s="14"/>
      <c r="I189" s="14"/>
    </row>
    <row r="190" spans="7:9" x14ac:dyDescent="0.2">
      <c r="G190" s="15"/>
      <c r="H190" s="14"/>
      <c r="I190" s="14"/>
    </row>
    <row r="191" spans="7:9" x14ac:dyDescent="0.2">
      <c r="G191" s="15"/>
      <c r="H191" s="14"/>
      <c r="I191" s="14"/>
    </row>
    <row r="192" spans="7:9" x14ac:dyDescent="0.2">
      <c r="G192" s="15"/>
      <c r="H192" s="14"/>
      <c r="I192" s="14"/>
    </row>
    <row r="193" spans="7:9" x14ac:dyDescent="0.2">
      <c r="G193" s="15"/>
      <c r="H193" s="14"/>
      <c r="I193" s="14"/>
    </row>
    <row r="194" spans="7:9" x14ac:dyDescent="0.2">
      <c r="G194" s="15"/>
      <c r="H194" s="14"/>
      <c r="I194" s="14"/>
    </row>
    <row r="195" spans="7:9" x14ac:dyDescent="0.2">
      <c r="G195" s="15"/>
      <c r="H195" s="14"/>
      <c r="I195" s="14"/>
    </row>
    <row r="196" spans="7:9" x14ac:dyDescent="0.2">
      <c r="G196" s="15"/>
      <c r="H196" s="14"/>
      <c r="I196" s="14"/>
    </row>
    <row r="197" spans="7:9" x14ac:dyDescent="0.2">
      <c r="G197" s="15"/>
      <c r="H197" s="14"/>
      <c r="I197" s="14"/>
    </row>
    <row r="198" spans="7:9" x14ac:dyDescent="0.2">
      <c r="G198" s="15"/>
      <c r="H198" s="14"/>
      <c r="I198" s="14"/>
    </row>
    <row r="199" spans="7:9" x14ac:dyDescent="0.2">
      <c r="G199" s="15"/>
      <c r="H199" s="14"/>
      <c r="I199" s="14"/>
    </row>
    <row r="200" spans="7:9" x14ac:dyDescent="0.2">
      <c r="G200" s="15"/>
      <c r="H200" s="14"/>
      <c r="I200" s="14"/>
    </row>
    <row r="201" spans="7:9" x14ac:dyDescent="0.2">
      <c r="G201" s="15"/>
      <c r="H201" s="14"/>
      <c r="I201" s="14"/>
    </row>
    <row r="202" spans="7:9" x14ac:dyDescent="0.2">
      <c r="G202" s="15"/>
      <c r="H202" s="14"/>
      <c r="I202" s="14"/>
    </row>
    <row r="203" spans="7:9" x14ac:dyDescent="0.2">
      <c r="G203" s="15"/>
      <c r="H203" s="14"/>
      <c r="I203" s="14"/>
    </row>
    <row r="204" spans="7:9" x14ac:dyDescent="0.2">
      <c r="G204" s="15"/>
      <c r="H204" s="14"/>
      <c r="I204" s="14"/>
    </row>
    <row r="205" spans="7:9" x14ac:dyDescent="0.2">
      <c r="G205" s="15"/>
      <c r="H205" s="14"/>
      <c r="I205" s="14"/>
    </row>
    <row r="206" spans="7:9" x14ac:dyDescent="0.2">
      <c r="G206" s="15"/>
      <c r="H206" s="14"/>
      <c r="I206" s="14"/>
    </row>
    <row r="207" spans="7:9" x14ac:dyDescent="0.2">
      <c r="G207" s="15"/>
      <c r="H207" s="14"/>
      <c r="I207" s="14"/>
    </row>
    <row r="208" spans="7:9" x14ac:dyDescent="0.2">
      <c r="G208" s="15"/>
      <c r="H208" s="14"/>
      <c r="I208" s="14"/>
    </row>
    <row r="209" spans="7:9" x14ac:dyDescent="0.2">
      <c r="G209" s="15"/>
      <c r="H209" s="14"/>
      <c r="I209" s="14"/>
    </row>
    <row r="210" spans="7:9" x14ac:dyDescent="0.2">
      <c r="G210" s="15"/>
      <c r="H210" s="14"/>
      <c r="I210" s="14"/>
    </row>
    <row r="211" spans="7:9" x14ac:dyDescent="0.2">
      <c r="G211" s="15"/>
      <c r="H211" s="14"/>
      <c r="I211" s="14"/>
    </row>
    <row r="212" spans="7:9" x14ac:dyDescent="0.2">
      <c r="G212" s="15"/>
      <c r="H212" s="14"/>
      <c r="I212" s="14"/>
    </row>
    <row r="213" spans="7:9" x14ac:dyDescent="0.2">
      <c r="G213" s="15"/>
      <c r="H213" s="14"/>
      <c r="I213" s="14"/>
    </row>
    <row r="214" spans="7:9" x14ac:dyDescent="0.2">
      <c r="G214" s="15"/>
      <c r="H214" s="14"/>
      <c r="I214" s="14"/>
    </row>
    <row r="215" spans="7:9" x14ac:dyDescent="0.2">
      <c r="G215" s="15"/>
      <c r="H215" s="14"/>
      <c r="I215" s="14"/>
    </row>
    <row r="216" spans="7:9" x14ac:dyDescent="0.2">
      <c r="G216" s="15"/>
      <c r="H216" s="14"/>
      <c r="I216" s="14"/>
    </row>
    <row r="217" spans="7:9" x14ac:dyDescent="0.2">
      <c r="G217" s="15"/>
      <c r="H217" s="14"/>
      <c r="I217" s="14"/>
    </row>
    <row r="218" spans="7:9" x14ac:dyDescent="0.2">
      <c r="G218" s="15"/>
      <c r="H218" s="14"/>
      <c r="I218" s="14"/>
    </row>
    <row r="219" spans="7:9" x14ac:dyDescent="0.2">
      <c r="G219" s="15"/>
      <c r="H219" s="14"/>
      <c r="I219" s="14"/>
    </row>
    <row r="220" spans="7:9" x14ac:dyDescent="0.2">
      <c r="G220" s="15"/>
      <c r="H220" s="14"/>
      <c r="I220" s="14"/>
    </row>
    <row r="221" spans="7:9" x14ac:dyDescent="0.2">
      <c r="G221" s="15"/>
      <c r="H221" s="14"/>
      <c r="I221" s="14"/>
    </row>
    <row r="222" spans="7:9" x14ac:dyDescent="0.2">
      <c r="G222" s="15"/>
      <c r="H222" s="14"/>
      <c r="I222" s="14"/>
    </row>
    <row r="223" spans="7:9" x14ac:dyDescent="0.2">
      <c r="G223" s="15"/>
      <c r="H223" s="14"/>
      <c r="I223" s="14"/>
    </row>
    <row r="224" spans="7:9" x14ac:dyDescent="0.2">
      <c r="G224" s="15"/>
      <c r="H224" s="14"/>
      <c r="I224" s="14"/>
    </row>
    <row r="225" spans="7:9" x14ac:dyDescent="0.2">
      <c r="G225" s="15"/>
      <c r="H225" s="14"/>
      <c r="I225" s="14"/>
    </row>
    <row r="226" spans="7:9" x14ac:dyDescent="0.2">
      <c r="G226" s="15"/>
      <c r="H226" s="14"/>
      <c r="I226" s="14"/>
    </row>
    <row r="227" spans="7:9" x14ac:dyDescent="0.2">
      <c r="G227" s="15"/>
      <c r="H227" s="14"/>
      <c r="I227" s="14"/>
    </row>
    <row r="228" spans="7:9" x14ac:dyDescent="0.2">
      <c r="G228" s="15"/>
      <c r="H228" s="14"/>
      <c r="I228" s="14"/>
    </row>
    <row r="229" spans="7:9" x14ac:dyDescent="0.2">
      <c r="G229" s="15"/>
      <c r="H229" s="14"/>
      <c r="I229" s="14"/>
    </row>
    <row r="230" spans="7:9" x14ac:dyDescent="0.2">
      <c r="G230" s="15"/>
      <c r="H230" s="14"/>
      <c r="I230" s="14"/>
    </row>
    <row r="231" spans="7:9" x14ac:dyDescent="0.2">
      <c r="G231" s="15"/>
      <c r="H231" s="14"/>
      <c r="I231" s="14"/>
    </row>
    <row r="232" spans="7:9" x14ac:dyDescent="0.2">
      <c r="G232" s="15"/>
      <c r="H232" s="14"/>
      <c r="I232" s="14"/>
    </row>
    <row r="233" spans="7:9" x14ac:dyDescent="0.2">
      <c r="G233" s="15"/>
      <c r="H233" s="14"/>
      <c r="I233" s="14"/>
    </row>
    <row r="234" spans="7:9" x14ac:dyDescent="0.2">
      <c r="G234" s="15"/>
      <c r="H234" s="14"/>
      <c r="I234" s="14"/>
    </row>
    <row r="235" spans="7:9" x14ac:dyDescent="0.2">
      <c r="G235" s="15"/>
      <c r="H235" s="14"/>
      <c r="I235" s="14"/>
    </row>
    <row r="236" spans="7:9" x14ac:dyDescent="0.2">
      <c r="G236" s="15"/>
      <c r="H236" s="14"/>
      <c r="I236" s="14"/>
    </row>
    <row r="237" spans="7:9" x14ac:dyDescent="0.2">
      <c r="G237" s="15"/>
      <c r="H237" s="14"/>
      <c r="I237" s="14"/>
    </row>
    <row r="238" spans="7:9" x14ac:dyDescent="0.2">
      <c r="G238" s="15"/>
      <c r="H238" s="14"/>
      <c r="I238" s="14"/>
    </row>
    <row r="239" spans="7:9" x14ac:dyDescent="0.2">
      <c r="G239" s="15"/>
      <c r="H239" s="14"/>
      <c r="I239" s="14"/>
    </row>
    <row r="240" spans="7:9" x14ac:dyDescent="0.2">
      <c r="G240" s="15"/>
      <c r="H240" s="14"/>
      <c r="I240" s="14"/>
    </row>
    <row r="241" spans="7:9" x14ac:dyDescent="0.2">
      <c r="G241" s="15"/>
      <c r="H241" s="14"/>
      <c r="I241" s="14"/>
    </row>
    <row r="242" spans="7:9" x14ac:dyDescent="0.2">
      <c r="G242" s="15"/>
      <c r="H242" s="14"/>
      <c r="I242" s="14"/>
    </row>
    <row r="243" spans="7:9" x14ac:dyDescent="0.2">
      <c r="G243" s="15"/>
      <c r="H243" s="14"/>
      <c r="I243" s="14"/>
    </row>
    <row r="244" spans="7:9" x14ac:dyDescent="0.2">
      <c r="G244" s="15"/>
      <c r="H244" s="14"/>
      <c r="I244" s="14"/>
    </row>
    <row r="245" spans="7:9" x14ac:dyDescent="0.2">
      <c r="G245" s="15"/>
      <c r="H245" s="14"/>
      <c r="I245" s="14"/>
    </row>
    <row r="246" spans="7:9" x14ac:dyDescent="0.2">
      <c r="G246" s="15"/>
      <c r="H246" s="14"/>
      <c r="I246" s="14"/>
    </row>
    <row r="247" spans="7:9" x14ac:dyDescent="0.2">
      <c r="G247" s="15"/>
      <c r="H247" s="14"/>
      <c r="I247" s="14"/>
    </row>
    <row r="248" spans="7:9" x14ac:dyDescent="0.2">
      <c r="G248" s="15"/>
      <c r="H248" s="14"/>
      <c r="I248" s="14"/>
    </row>
  </sheetData>
  <mergeCells count="16">
    <mergeCell ref="N13:T14"/>
    <mergeCell ref="N16:T17"/>
    <mergeCell ref="I16:I28"/>
    <mergeCell ref="G7:J7"/>
    <mergeCell ref="J9:J11"/>
    <mergeCell ref="J12:J15"/>
    <mergeCell ref="J16:J28"/>
    <mergeCell ref="K2:K3"/>
    <mergeCell ref="J4:J5"/>
    <mergeCell ref="K4:K5"/>
    <mergeCell ref="I9:I11"/>
    <mergeCell ref="I12:I15"/>
    <mergeCell ref="B4:I5"/>
    <mergeCell ref="B2:I3"/>
    <mergeCell ref="B7:C7"/>
    <mergeCell ref="J2:J3"/>
  </mergeCells>
  <pageMargins left="0.78740157499999996" right="0.78740157499999996" top="0.984251969" bottom="0.984251969" header="0.5" footer="0.5"/>
  <pageSetup paperSize="9" orientation="portrait" horizontalDpi="4294967293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Origin50.Graph" shapeId="1078" r:id="rId4">
          <objectPr defaultSize="0" autoPict="0" r:id="rId5">
            <anchor moveWithCells="1">
              <from>
                <xdr:col>20</xdr:col>
                <xdr:colOff>0</xdr:colOff>
                <xdr:row>10</xdr:row>
                <xdr:rowOff>0</xdr:rowOff>
              </from>
              <to>
                <xdr:col>31</xdr:col>
                <xdr:colOff>400050</xdr:colOff>
                <xdr:row>37</xdr:row>
                <xdr:rowOff>95250</xdr:rowOff>
              </to>
            </anchor>
          </objectPr>
        </oleObject>
      </mc:Choice>
      <mc:Fallback>
        <oleObject progId="Origin50.Graph" shapeId="107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calculator</vt:lpstr>
      <vt:lpstr>calculator!KnownX</vt:lpstr>
      <vt:lpstr>calculator!KnownY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Volker Presser</cp:lastModifiedBy>
  <dcterms:created xsi:type="dcterms:W3CDTF">2009-08-05T08:40:19Z</dcterms:created>
  <dcterms:modified xsi:type="dcterms:W3CDTF">2013-07-01T20:52:00Z</dcterms:modified>
</cp:coreProperties>
</file>