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50" yWindow="0" windowWidth="19710" windowHeight="11760" tabRatio="955" activeTab="7"/>
  </bookViews>
  <sheets>
    <sheet name="About this model" sheetId="26" r:id="rId1"/>
    <sheet name="About BatPaC" sheetId="10" r:id="rId2"/>
    <sheet name="Chem" sheetId="5" r:id="rId3"/>
    <sheet name="Iterative I-V" sheetId="22" r:id="rId4"/>
    <sheet name="IV-thickness" sheetId="25" r:id="rId5"/>
    <sheet name="Flow and System" sheetId="23" r:id="rId6"/>
    <sheet name="Components" sheetId="24" r:id="rId7"/>
    <sheet name="Battery Design" sheetId="3" r:id="rId8"/>
    <sheet name="Summary of Results" sheetId="4" r:id="rId9"/>
    <sheet name="Cost Input" sheetId="2" r:id="rId10"/>
    <sheet name="Manufacturing Cost Calculations" sheetId="1" r:id="rId11"/>
    <sheet name="Cost Breakdown" sheetId="21" r:id="rId12"/>
  </sheets>
  <definedNames>
    <definedName name="_xlnm.Print_Area" localSheetId="1">'About BatPaC'!$A$1:$F$40</definedName>
    <definedName name="_xlnm.Print_Area" localSheetId="7">'Battery Design'!$A$1:$L$196</definedName>
    <definedName name="_xlnm.Print_Area" localSheetId="2">Chem!$A$1:$N$83</definedName>
    <definedName name="_xlnm.Print_Area" localSheetId="11">'Cost Breakdown'!$A$1:$L$346</definedName>
    <definedName name="_xlnm.Print_Area" localSheetId="9">'Cost Input'!$A$1:$J$141</definedName>
    <definedName name="_xlnm.Print_Area" localSheetId="10">'Manufacturing Cost Calculations'!$A$1:$L$265</definedName>
    <definedName name="_xlnm.Print_Area" localSheetId="8">'Summary of Results'!$A$1:$L$80</definedName>
    <definedName name="_xlnm.Print_Titles" localSheetId="7">'Battery Design'!$1:$3</definedName>
    <definedName name="_xlnm.Print_Titles" localSheetId="2">Chem!$1:$4</definedName>
    <definedName name="_xlnm.Print_Titles" localSheetId="10">'Manufacturing Cost Calculations'!$1:$3</definedName>
    <definedName name="_xlnm.Print_Titles" localSheetId="8">'Summary of Results'!$1:$3</definedName>
  </definedNames>
  <calcPr calcId="145621" iterate="1" iterateCount="1000"/>
  <extLst>
    <ext xmlns:mx="http://schemas.microsoft.com/office/mac/excel/2008/main" uri="http://schemas.microsoft.com/office/mac/excel/2008/main">
      <mx:ArchID Flags="2"/>
    </ext>
  </extLst>
</workbook>
</file>

<file path=xl/calcChain.xml><?xml version="1.0" encoding="utf-8"?>
<calcChain xmlns="http://schemas.openxmlformats.org/spreadsheetml/2006/main">
  <c r="E32" i="22" l="1"/>
  <c r="F32" i="22"/>
  <c r="G32" i="22"/>
  <c r="H32" i="22"/>
  <c r="I32" i="22"/>
  <c r="J32" i="22"/>
  <c r="K32" i="22"/>
  <c r="L32" i="22"/>
  <c r="D32" i="22"/>
  <c r="D6" i="24" l="1"/>
  <c r="D16" i="23" l="1"/>
  <c r="E16" i="23" s="1"/>
  <c r="F16" i="23" s="1"/>
  <c r="G16" i="23" s="1"/>
  <c r="H16" i="23" s="1"/>
  <c r="I16" i="23" s="1"/>
  <c r="J16" i="23" s="1"/>
  <c r="K16" i="23" s="1"/>
  <c r="L16" i="23" s="1"/>
  <c r="D62" i="25" l="1"/>
  <c r="E62" i="25"/>
  <c r="F62" i="25"/>
  <c r="G62" i="25"/>
  <c r="H62" i="25"/>
  <c r="I62" i="25"/>
  <c r="J62" i="25"/>
  <c r="K62" i="25"/>
  <c r="L62" i="25"/>
  <c r="C62" i="25"/>
  <c r="E62" i="22"/>
  <c r="F62" i="22"/>
  <c r="G62" i="22"/>
  <c r="H62" i="22"/>
  <c r="I62" i="22"/>
  <c r="J62" i="22"/>
  <c r="K62" i="22"/>
  <c r="L62" i="22"/>
  <c r="D62" i="22"/>
  <c r="C62" i="22"/>
  <c r="D19" i="22"/>
  <c r="D20" i="22"/>
  <c r="D219" i="3" l="1"/>
  <c r="G189" i="3"/>
  <c r="H189" i="3"/>
  <c r="I189" i="3"/>
  <c r="J189" i="3"/>
  <c r="K189" i="3"/>
  <c r="L189" i="3"/>
  <c r="M189" i="3"/>
  <c r="N189" i="3"/>
  <c r="O189" i="3"/>
  <c r="F189" i="3"/>
  <c r="G107" i="3"/>
  <c r="H107" i="3"/>
  <c r="I107" i="3"/>
  <c r="J107" i="3"/>
  <c r="K107" i="3"/>
  <c r="L107" i="3"/>
  <c r="M107" i="3"/>
  <c r="N107" i="3"/>
  <c r="O107" i="3"/>
  <c r="G109" i="3"/>
  <c r="H109" i="3"/>
  <c r="I109" i="3"/>
  <c r="J109" i="3"/>
  <c r="K109" i="3"/>
  <c r="L109" i="3"/>
  <c r="M109" i="3"/>
  <c r="N109" i="3"/>
  <c r="O109" i="3"/>
  <c r="F109" i="3"/>
  <c r="F107" i="3"/>
  <c r="G32" i="3"/>
  <c r="H32" i="3"/>
  <c r="I32" i="3"/>
  <c r="J32" i="3"/>
  <c r="K32" i="3"/>
  <c r="L32" i="3"/>
  <c r="M32" i="3"/>
  <c r="N32" i="3"/>
  <c r="O32" i="3"/>
  <c r="F32" i="3"/>
  <c r="O183" i="3"/>
  <c r="O118" i="3"/>
  <c r="O119" i="3" s="1"/>
  <c r="O62" i="3"/>
  <c r="O58" i="3" s="1"/>
  <c r="O117" i="3" s="1"/>
  <c r="O28" i="3"/>
  <c r="O29" i="3" s="1"/>
  <c r="N183" i="3"/>
  <c r="N118" i="3"/>
  <c r="N119" i="3" s="1"/>
  <c r="N62" i="3"/>
  <c r="N28" i="3"/>
  <c r="N29" i="3" s="1"/>
  <c r="M183" i="3"/>
  <c r="M118" i="3"/>
  <c r="M119" i="3"/>
  <c r="M62" i="3"/>
  <c r="M58" i="3" s="1"/>
  <c r="M28" i="3"/>
  <c r="M29" i="3" s="1"/>
  <c r="K183" i="3"/>
  <c r="J183" i="3"/>
  <c r="I183" i="3"/>
  <c r="H183" i="3"/>
  <c r="G183" i="3"/>
  <c r="F183" i="3"/>
  <c r="L183" i="3"/>
  <c r="G54" i="3"/>
  <c r="G110" i="1" s="1"/>
  <c r="A2" i="21"/>
  <c r="L118" i="3"/>
  <c r="L119" i="3" s="1"/>
  <c r="L62" i="3"/>
  <c r="L9" i="21" s="1"/>
  <c r="L28" i="3"/>
  <c r="L29" i="3" s="1"/>
  <c r="K118" i="3"/>
  <c r="K119" i="3" s="1"/>
  <c r="K28" i="3"/>
  <c r="K29" i="3" s="1"/>
  <c r="K62" i="3"/>
  <c r="K58" i="3" s="1"/>
  <c r="K117" i="3" s="1"/>
  <c r="F160" i="3"/>
  <c r="G197" i="3"/>
  <c r="H197" i="3" s="1"/>
  <c r="F152" i="3"/>
  <c r="F165" i="3" s="1"/>
  <c r="F123" i="3"/>
  <c r="J118" i="3"/>
  <c r="J119" i="3"/>
  <c r="I118" i="3"/>
  <c r="I119" i="3" s="1"/>
  <c r="H118" i="3"/>
  <c r="H119" i="3" s="1"/>
  <c r="G118" i="3"/>
  <c r="G119" i="3" s="1"/>
  <c r="F118" i="3"/>
  <c r="F119" i="3" s="1"/>
  <c r="J62" i="3"/>
  <c r="J58" i="3" s="1"/>
  <c r="J117" i="3" s="1"/>
  <c r="I62" i="3"/>
  <c r="I9" i="21" s="1"/>
  <c r="H62" i="3"/>
  <c r="H9" i="21" s="1"/>
  <c r="G62" i="3"/>
  <c r="G58" i="3" s="1"/>
  <c r="F62" i="3"/>
  <c r="F58" i="3" s="1"/>
  <c r="F56" i="3"/>
  <c r="F79" i="3" s="1"/>
  <c r="G55" i="3"/>
  <c r="J28" i="3"/>
  <c r="J29" i="3" s="1"/>
  <c r="I28" i="3"/>
  <c r="I29" i="3" s="1"/>
  <c r="H28" i="3"/>
  <c r="H29" i="3"/>
  <c r="G28" i="3"/>
  <c r="G29" i="3" s="1"/>
  <c r="F28" i="3"/>
  <c r="F29" i="3"/>
  <c r="H58" i="3"/>
  <c r="G160" i="3"/>
  <c r="H160" i="3"/>
  <c r="I160" i="3"/>
  <c r="J160" i="3"/>
  <c r="K160" i="3"/>
  <c r="L160" i="3"/>
  <c r="M160" i="3"/>
  <c r="N160" i="3"/>
  <c r="O160" i="3"/>
  <c r="K42" i="3"/>
  <c r="H124" i="22" s="1"/>
  <c r="T71" i="5"/>
  <c r="E76" i="5"/>
  <c r="E50" i="5"/>
  <c r="E51" i="5"/>
  <c r="E6" i="5"/>
  <c r="H5" i="23" s="1"/>
  <c r="E10" i="5"/>
  <c r="E54" i="25" s="1"/>
  <c r="E11" i="5"/>
  <c r="E12" i="5"/>
  <c r="C9" i="3" s="1"/>
  <c r="G9" i="5"/>
  <c r="E9" i="5"/>
  <c r="D83" i="5"/>
  <c r="D29" i="2" s="1"/>
  <c r="D65" i="1" s="1"/>
  <c r="D82" i="5"/>
  <c r="D28" i="2" s="1"/>
  <c r="D64" i="1" s="1"/>
  <c r="D81" i="5"/>
  <c r="D27" i="2" s="1"/>
  <c r="D80" i="5"/>
  <c r="D26" i="2" s="1"/>
  <c r="D79" i="5"/>
  <c r="D78" i="5"/>
  <c r="D77" i="5"/>
  <c r="D76" i="5"/>
  <c r="D74" i="5"/>
  <c r="D20" i="2" s="1"/>
  <c r="D73" i="5"/>
  <c r="D19" i="2" s="1"/>
  <c r="D72" i="5"/>
  <c r="D71" i="5"/>
  <c r="D16" i="2" s="1"/>
  <c r="D54" i="1" s="1"/>
  <c r="E83" i="5"/>
  <c r="E82" i="5"/>
  <c r="E81" i="5"/>
  <c r="E80" i="5"/>
  <c r="E79" i="5"/>
  <c r="E78" i="5"/>
  <c r="E77" i="5"/>
  <c r="E74" i="5"/>
  <c r="E20" i="2" s="1"/>
  <c r="E73" i="5"/>
  <c r="E19" i="2" s="1"/>
  <c r="E72" i="5"/>
  <c r="E17" i="2" s="1"/>
  <c r="E71" i="5"/>
  <c r="E68" i="5"/>
  <c r="E65" i="5" s="1"/>
  <c r="E67" i="5"/>
  <c r="E66" i="5"/>
  <c r="E63" i="5"/>
  <c r="E60" i="5"/>
  <c r="E59" i="5"/>
  <c r="E58" i="5"/>
  <c r="E57" i="5"/>
  <c r="E54" i="5"/>
  <c r="E53" i="5"/>
  <c r="E52" i="5"/>
  <c r="E49" i="5"/>
  <c r="H8" i="22" s="1"/>
  <c r="H8" i="25" s="1"/>
  <c r="U8" i="25" s="1"/>
  <c r="E48" i="5"/>
  <c r="E46" i="5"/>
  <c r="E44" i="5"/>
  <c r="E43" i="5"/>
  <c r="D23" i="3" s="1"/>
  <c r="E41" i="5"/>
  <c r="D22" i="3" s="1"/>
  <c r="E40" i="5"/>
  <c r="C22" i="3" s="1"/>
  <c r="E38" i="5"/>
  <c r="D21" i="3" s="1"/>
  <c r="E37" i="5"/>
  <c r="C21" i="3" s="1"/>
  <c r="E21" i="3" s="1"/>
  <c r="E35" i="5"/>
  <c r="E17" i="3" s="1"/>
  <c r="E34" i="5"/>
  <c r="E16" i="3" s="1"/>
  <c r="E33" i="5"/>
  <c r="E15" i="3" s="1"/>
  <c r="E31" i="5"/>
  <c r="C18" i="3" s="1"/>
  <c r="E30" i="5"/>
  <c r="E29" i="5"/>
  <c r="D17" i="3" s="1"/>
  <c r="E28" i="5"/>
  <c r="D16" i="3" s="1"/>
  <c r="E25" i="5"/>
  <c r="E24" i="5"/>
  <c r="E22" i="5"/>
  <c r="E8" i="3" s="1"/>
  <c r="E21" i="5"/>
  <c r="E7" i="3" s="1"/>
  <c r="E20" i="5"/>
  <c r="E6" i="3" s="1"/>
  <c r="E18" i="5"/>
  <c r="C10" i="3" s="1"/>
  <c r="E17" i="5"/>
  <c r="E16" i="5"/>
  <c r="E15" i="5"/>
  <c r="E8" i="5"/>
  <c r="E7" i="5"/>
  <c r="J38" i="3" s="1"/>
  <c r="E56" i="5"/>
  <c r="E61" i="5" s="1"/>
  <c r="G69" i="5"/>
  <c r="G62" i="5"/>
  <c r="E62" i="5" s="1"/>
  <c r="E45" i="5"/>
  <c r="E23" i="3" s="1"/>
  <c r="G27" i="5"/>
  <c r="E27" i="5" s="1"/>
  <c r="D15" i="3" s="1"/>
  <c r="E14" i="5"/>
  <c r="N9" i="21"/>
  <c r="E12" i="2"/>
  <c r="E11" i="2"/>
  <c r="E10" i="2"/>
  <c r="E9" i="2"/>
  <c r="E8" i="2"/>
  <c r="E7" i="2"/>
  <c r="D141" i="2"/>
  <c r="D140" i="2"/>
  <c r="D139" i="2"/>
  <c r="D98" i="2"/>
  <c r="D92" i="2"/>
  <c r="J49" i="2"/>
  <c r="J18" i="2"/>
  <c r="E29" i="2"/>
  <c r="E28" i="2"/>
  <c r="E27" i="2"/>
  <c r="E26" i="2"/>
  <c r="E25" i="2"/>
  <c r="D25" i="2"/>
  <c r="E24" i="2"/>
  <c r="D24" i="2"/>
  <c r="D61" i="1" s="1"/>
  <c r="E23" i="2"/>
  <c r="D23" i="2"/>
  <c r="D60" i="1" s="1"/>
  <c r="E22" i="2"/>
  <c r="D22" i="2"/>
  <c r="D59" i="1" s="1"/>
  <c r="D17" i="2"/>
  <c r="D55" i="1" s="1"/>
  <c r="E16" i="2"/>
  <c r="D15" i="23"/>
  <c r="E15" i="23" s="1"/>
  <c r="F15" i="23" s="1"/>
  <c r="G15" i="23" s="1"/>
  <c r="H15" i="23" s="1"/>
  <c r="I15" i="23" s="1"/>
  <c r="J15" i="23" s="1"/>
  <c r="K15" i="23" s="1"/>
  <c r="L15" i="23" s="1"/>
  <c r="K5" i="23"/>
  <c r="D28" i="23"/>
  <c r="L96" i="23"/>
  <c r="K96" i="23"/>
  <c r="J96" i="23"/>
  <c r="I96" i="23"/>
  <c r="H96" i="23"/>
  <c r="G96" i="23"/>
  <c r="F96" i="23"/>
  <c r="E96" i="23"/>
  <c r="D96" i="23"/>
  <c r="C96" i="23"/>
  <c r="L30" i="23"/>
  <c r="K30" i="23"/>
  <c r="J30" i="23"/>
  <c r="I30" i="23"/>
  <c r="H30" i="23"/>
  <c r="G30" i="23"/>
  <c r="F30" i="23"/>
  <c r="E30" i="23"/>
  <c r="D30" i="23"/>
  <c r="C30" i="23"/>
  <c r="L29" i="23"/>
  <c r="K29" i="23"/>
  <c r="J29" i="23"/>
  <c r="I29" i="23"/>
  <c r="H29" i="23"/>
  <c r="G29" i="23"/>
  <c r="F29" i="23"/>
  <c r="E29" i="23"/>
  <c r="D29" i="23"/>
  <c r="C29" i="23"/>
  <c r="L28" i="23"/>
  <c r="K28" i="23"/>
  <c r="K4" i="22" s="1"/>
  <c r="J28" i="23"/>
  <c r="J4" i="22" s="1"/>
  <c r="I28" i="23"/>
  <c r="I4" i="22" s="1"/>
  <c r="H28" i="23"/>
  <c r="H4" i="22" s="1"/>
  <c r="H4" i="25" s="1"/>
  <c r="U4" i="25" s="1"/>
  <c r="G28" i="23"/>
  <c r="F28" i="23"/>
  <c r="E28" i="23"/>
  <c r="C28" i="23"/>
  <c r="C4" i="22" s="1"/>
  <c r="C35" i="23"/>
  <c r="D35" i="23"/>
  <c r="H35" i="23"/>
  <c r="L35" i="23"/>
  <c r="E35" i="23"/>
  <c r="I35" i="23"/>
  <c r="F35" i="23"/>
  <c r="J35" i="23"/>
  <c r="G35" i="23"/>
  <c r="K35" i="23"/>
  <c r="L36" i="23"/>
  <c r="D36" i="23"/>
  <c r="K36" i="23"/>
  <c r="C36" i="23"/>
  <c r="E36" i="23"/>
  <c r="F36" i="23"/>
  <c r="G36" i="23"/>
  <c r="H36" i="23"/>
  <c r="I36" i="23"/>
  <c r="V20" i="22"/>
  <c r="D3" i="22"/>
  <c r="D3" i="25" s="1"/>
  <c r="E3" i="22"/>
  <c r="E3" i="25" s="1"/>
  <c r="R3" i="25" s="1"/>
  <c r="F3" i="22"/>
  <c r="G3" i="22"/>
  <c r="T3" i="22" s="1"/>
  <c r="H3" i="22"/>
  <c r="U3" i="22" s="1"/>
  <c r="I3" i="22"/>
  <c r="V3" i="22" s="1"/>
  <c r="J3" i="22"/>
  <c r="K3" i="22"/>
  <c r="K3" i="25" s="1"/>
  <c r="L3" i="22"/>
  <c r="L3" i="25" s="1"/>
  <c r="E19" i="22"/>
  <c r="E20" i="22"/>
  <c r="P20" i="22"/>
  <c r="X20" i="22"/>
  <c r="Y20" i="22"/>
  <c r="C3" i="22"/>
  <c r="M67" i="22"/>
  <c r="D45" i="22"/>
  <c r="Q45" i="22" s="1"/>
  <c r="R32" i="22"/>
  <c r="C45" i="22"/>
  <c r="H54" i="22"/>
  <c r="H59" i="22" s="1"/>
  <c r="U59" i="22" s="1"/>
  <c r="U54" i="22"/>
  <c r="I54" i="22"/>
  <c r="I59" i="22" s="1"/>
  <c r="V59" i="22" s="1"/>
  <c r="U52" i="22"/>
  <c r="V52" i="22"/>
  <c r="W52" i="22"/>
  <c r="X52" i="22"/>
  <c r="Y52" i="22"/>
  <c r="P52" i="22"/>
  <c r="Q52" i="22"/>
  <c r="R52" i="22"/>
  <c r="S52" i="22"/>
  <c r="T52" i="22"/>
  <c r="K64" i="22"/>
  <c r="X64" i="22" s="1"/>
  <c r="J64" i="22"/>
  <c r="W64" i="22"/>
  <c r="I64" i="22"/>
  <c r="V64" i="22"/>
  <c r="H64" i="22"/>
  <c r="U64" i="22"/>
  <c r="G64" i="22"/>
  <c r="T64" i="22"/>
  <c r="E64" i="22"/>
  <c r="R64" i="22"/>
  <c r="L64" i="22"/>
  <c r="Y64" i="22" s="1"/>
  <c r="F64" i="22"/>
  <c r="S64" i="22"/>
  <c r="D64" i="22"/>
  <c r="Q64" i="22"/>
  <c r="C64" i="22"/>
  <c r="P64" i="22" s="1"/>
  <c r="Y63" i="22"/>
  <c r="X63" i="22"/>
  <c r="W63" i="22"/>
  <c r="V63" i="22"/>
  <c r="U63" i="22"/>
  <c r="T63" i="22"/>
  <c r="S63" i="22"/>
  <c r="R63" i="22"/>
  <c r="Q63" i="22"/>
  <c r="P63" i="22"/>
  <c r="P62" i="22"/>
  <c r="Y56" i="22"/>
  <c r="X56" i="22"/>
  <c r="W56" i="22"/>
  <c r="V56" i="22"/>
  <c r="U56" i="22"/>
  <c r="T56" i="22"/>
  <c r="S56" i="22"/>
  <c r="R56" i="22"/>
  <c r="Q56" i="22"/>
  <c r="P56" i="22"/>
  <c r="Y46" i="22"/>
  <c r="X46" i="22"/>
  <c r="W46" i="22"/>
  <c r="V46" i="22"/>
  <c r="U46" i="22"/>
  <c r="T46" i="22"/>
  <c r="S46" i="22"/>
  <c r="R46" i="22"/>
  <c r="Q46" i="22"/>
  <c r="P46" i="22"/>
  <c r="P45" i="22"/>
  <c r="D39" i="22"/>
  <c r="Q39" i="22"/>
  <c r="P39" i="22"/>
  <c r="Y33" i="22"/>
  <c r="X33" i="22"/>
  <c r="W33" i="22"/>
  <c r="V33" i="22"/>
  <c r="U33" i="22"/>
  <c r="T33" i="22"/>
  <c r="S33" i="22"/>
  <c r="R33" i="22"/>
  <c r="Q33" i="22"/>
  <c r="P33" i="22"/>
  <c r="Q32" i="22"/>
  <c r="P32" i="22"/>
  <c r="R20" i="22"/>
  <c r="Q20" i="22"/>
  <c r="U20" i="22"/>
  <c r="C29" i="22"/>
  <c r="D29" i="22"/>
  <c r="E29" i="22"/>
  <c r="F29" i="22"/>
  <c r="G29" i="22"/>
  <c r="H29" i="22"/>
  <c r="I29" i="22"/>
  <c r="J29" i="22"/>
  <c r="K29" i="22"/>
  <c r="L29" i="22"/>
  <c r="D53" i="22"/>
  <c r="Q53" i="22" s="1"/>
  <c r="D58" i="22"/>
  <c r="Q58" i="22" s="1"/>
  <c r="E53" i="22"/>
  <c r="E58" i="22" s="1"/>
  <c r="R58" i="22" s="1"/>
  <c r="F53" i="22"/>
  <c r="S53" i="22" s="1"/>
  <c r="G53" i="22"/>
  <c r="T53" i="22" s="1"/>
  <c r="H53" i="22"/>
  <c r="U53" i="22" s="1"/>
  <c r="I53" i="22"/>
  <c r="V53" i="22" s="1"/>
  <c r="C53" i="22"/>
  <c r="P53" i="22" s="1"/>
  <c r="C58" i="22"/>
  <c r="P58" i="22" s="1"/>
  <c r="R53" i="22"/>
  <c r="X6" i="22"/>
  <c r="Y6" i="22"/>
  <c r="P6" i="22"/>
  <c r="Q6" i="22"/>
  <c r="R6" i="22"/>
  <c r="S6" i="22"/>
  <c r="T6" i="22"/>
  <c r="U6" i="22"/>
  <c r="V6" i="22"/>
  <c r="W6" i="22"/>
  <c r="Y63" i="25"/>
  <c r="L56" i="25"/>
  <c r="Y56" i="25"/>
  <c r="L64" i="25"/>
  <c r="Y64" i="25" s="1"/>
  <c r="L53" i="25"/>
  <c r="Y53" i="25" s="1"/>
  <c r="L52" i="25"/>
  <c r="Y52" i="25" s="1"/>
  <c r="L46" i="25"/>
  <c r="Y46" i="25"/>
  <c r="L33" i="25"/>
  <c r="Y33" i="25"/>
  <c r="L29" i="25"/>
  <c r="Y29" i="25" s="1"/>
  <c r="L6" i="25"/>
  <c r="Y6" i="25"/>
  <c r="X63" i="25"/>
  <c r="K56" i="25"/>
  <c r="X56" i="25" s="1"/>
  <c r="K64" i="25"/>
  <c r="X64" i="25"/>
  <c r="K53" i="25"/>
  <c r="K52" i="25"/>
  <c r="X52" i="25" s="1"/>
  <c r="K46" i="25"/>
  <c r="X46" i="25"/>
  <c r="K33" i="25"/>
  <c r="X33" i="25"/>
  <c r="K29" i="25"/>
  <c r="X29" i="25"/>
  <c r="K6" i="25"/>
  <c r="X6" i="25" s="1"/>
  <c r="W63" i="25"/>
  <c r="J56" i="25"/>
  <c r="J64" i="25"/>
  <c r="W64" i="25" s="1"/>
  <c r="J53" i="25"/>
  <c r="W53" i="25" s="1"/>
  <c r="J58" i="25"/>
  <c r="W58" i="25" s="1"/>
  <c r="J52" i="25"/>
  <c r="W52" i="25"/>
  <c r="J46" i="25"/>
  <c r="W46" i="25" s="1"/>
  <c r="J33" i="25"/>
  <c r="W33" i="25" s="1"/>
  <c r="J29" i="25"/>
  <c r="W29" i="25"/>
  <c r="J6" i="25"/>
  <c r="W6" i="25" s="1"/>
  <c r="H46" i="25"/>
  <c r="H6" i="25"/>
  <c r="H33" i="25"/>
  <c r="H56" i="25"/>
  <c r="H64" i="25"/>
  <c r="H53" i="25"/>
  <c r="H58" i="25" s="1"/>
  <c r="U58" i="25" s="1"/>
  <c r="H52" i="25"/>
  <c r="H29" i="25"/>
  <c r="U29" i="25" s="1"/>
  <c r="G46" i="25"/>
  <c r="G6" i="25"/>
  <c r="T6" i="25" s="1"/>
  <c r="G33" i="25"/>
  <c r="T33" i="25" s="1"/>
  <c r="G56" i="25"/>
  <c r="T56" i="25" s="1"/>
  <c r="G64" i="25"/>
  <c r="T64" i="25" s="1"/>
  <c r="G54" i="25"/>
  <c r="G59" i="25" s="1"/>
  <c r="T59" i="25"/>
  <c r="G53" i="25"/>
  <c r="G52" i="25"/>
  <c r="G29" i="25"/>
  <c r="T29" i="25" s="1"/>
  <c r="F46" i="25"/>
  <c r="S46" i="25" s="1"/>
  <c r="F6" i="25"/>
  <c r="F33" i="25"/>
  <c r="F56" i="25"/>
  <c r="S56" i="25" s="1"/>
  <c r="F64" i="25"/>
  <c r="F54" i="25"/>
  <c r="F53" i="25"/>
  <c r="F52" i="25"/>
  <c r="S52" i="25" s="1"/>
  <c r="F29" i="25"/>
  <c r="S29" i="25" s="1"/>
  <c r="E46" i="25"/>
  <c r="E6" i="25"/>
  <c r="E33" i="25"/>
  <c r="E56" i="25"/>
  <c r="R56" i="25" s="1"/>
  <c r="E64" i="25"/>
  <c r="R64" i="25" s="1"/>
  <c r="E53" i="25"/>
  <c r="R53" i="25" s="1"/>
  <c r="E52" i="25"/>
  <c r="E29" i="25"/>
  <c r="R29" i="25" s="1"/>
  <c r="D46" i="25"/>
  <c r="Q46" i="25" s="1"/>
  <c r="D6" i="25"/>
  <c r="D33" i="25"/>
  <c r="D56" i="25"/>
  <c r="Q56" i="25" s="1"/>
  <c r="D64" i="25"/>
  <c r="D53" i="25"/>
  <c r="Q53" i="25" s="1"/>
  <c r="D52" i="25"/>
  <c r="D32" i="25"/>
  <c r="Q32" i="25" s="1"/>
  <c r="D29" i="25"/>
  <c r="Q29" i="25" s="1"/>
  <c r="V63" i="25"/>
  <c r="I56" i="25"/>
  <c r="I64" i="25"/>
  <c r="V64" i="25" s="1"/>
  <c r="I52" i="25"/>
  <c r="V52" i="25"/>
  <c r="I46" i="25"/>
  <c r="V46" i="25" s="1"/>
  <c r="I33" i="25"/>
  <c r="V33" i="25" s="1"/>
  <c r="I29" i="25"/>
  <c r="V29" i="25"/>
  <c r="I6" i="25"/>
  <c r="V6" i="25" s="1"/>
  <c r="U63" i="25"/>
  <c r="U64" i="25"/>
  <c r="U52" i="25"/>
  <c r="U46" i="25"/>
  <c r="U6" i="25"/>
  <c r="T63" i="25"/>
  <c r="T52" i="25"/>
  <c r="T46" i="25"/>
  <c r="S63" i="25"/>
  <c r="S64" i="25"/>
  <c r="S33" i="25"/>
  <c r="S6" i="25"/>
  <c r="R63" i="25"/>
  <c r="R52" i="25"/>
  <c r="R6" i="25"/>
  <c r="Q63" i="25"/>
  <c r="Q64" i="25"/>
  <c r="Q52" i="25"/>
  <c r="Q6" i="25"/>
  <c r="C29" i="25"/>
  <c r="P29" i="25"/>
  <c r="C56" i="25"/>
  <c r="C52" i="25"/>
  <c r="P52" i="25" s="1"/>
  <c r="C46" i="25"/>
  <c r="C32" i="25"/>
  <c r="C45" i="25" s="1"/>
  <c r="C39" i="25"/>
  <c r="P39" i="25" s="1"/>
  <c r="C33" i="25"/>
  <c r="C6" i="25"/>
  <c r="P6" i="25" s="1"/>
  <c r="P63" i="25"/>
  <c r="P62" i="25"/>
  <c r="M67" i="25"/>
  <c r="C64" i="25"/>
  <c r="P64" i="25" s="1"/>
  <c r="C53" i="25"/>
  <c r="P45" i="25"/>
  <c r="G101" i="1"/>
  <c r="H101" i="1"/>
  <c r="I101" i="1"/>
  <c r="J101" i="1"/>
  <c r="K101" i="1"/>
  <c r="L101" i="1"/>
  <c r="M101" i="1"/>
  <c r="N101" i="1"/>
  <c r="O101" i="1"/>
  <c r="F101" i="1"/>
  <c r="O112" i="1"/>
  <c r="N112" i="1"/>
  <c r="M112" i="1"/>
  <c r="O103" i="1"/>
  <c r="N103" i="1"/>
  <c r="M103" i="1"/>
  <c r="O102" i="1"/>
  <c r="N102" i="1"/>
  <c r="M102" i="1"/>
  <c r="O5" i="1"/>
  <c r="O7" i="1" s="1"/>
  <c r="O8" i="1" s="1"/>
  <c r="O248" i="1" s="1"/>
  <c r="N5" i="1"/>
  <c r="N7" i="1" s="1"/>
  <c r="M5" i="1"/>
  <c r="M7" i="1" s="1"/>
  <c r="N243" i="1"/>
  <c r="L112" i="1"/>
  <c r="L103" i="1"/>
  <c r="L102" i="1"/>
  <c r="L5" i="1"/>
  <c r="L7" i="1" s="1"/>
  <c r="L46" i="1" s="1"/>
  <c r="L47" i="1" s="1"/>
  <c r="L48" i="1" s="1"/>
  <c r="K112" i="1"/>
  <c r="K103" i="1"/>
  <c r="K102" i="1"/>
  <c r="K5" i="1"/>
  <c r="K7" i="1" s="1"/>
  <c r="J5" i="1"/>
  <c r="J7" i="1" s="1"/>
  <c r="J46" i="1" s="1"/>
  <c r="J47" i="1" s="1"/>
  <c r="J48" i="1" s="1"/>
  <c r="J102" i="1"/>
  <c r="J103" i="1"/>
  <c r="J112" i="1"/>
  <c r="E256" i="1"/>
  <c r="D256" i="1"/>
  <c r="E255" i="1"/>
  <c r="D255" i="1"/>
  <c r="E254" i="1"/>
  <c r="D254" i="1"/>
  <c r="E251" i="1"/>
  <c r="D251" i="1"/>
  <c r="E250" i="1"/>
  <c r="D250" i="1"/>
  <c r="E249" i="1"/>
  <c r="D249" i="1"/>
  <c r="E246" i="1"/>
  <c r="D246" i="1"/>
  <c r="E245" i="1"/>
  <c r="D245" i="1"/>
  <c r="E244" i="1"/>
  <c r="D244" i="1"/>
  <c r="E243" i="1"/>
  <c r="D243" i="1"/>
  <c r="E240" i="1"/>
  <c r="D240" i="1"/>
  <c r="E239" i="1"/>
  <c r="D239" i="1"/>
  <c r="E238" i="1"/>
  <c r="D238" i="1"/>
  <c r="E235" i="1"/>
  <c r="D235" i="1"/>
  <c r="E234" i="1"/>
  <c r="D234" i="1"/>
  <c r="E233" i="1"/>
  <c r="D233" i="1"/>
  <c r="E230" i="1"/>
  <c r="D230" i="1"/>
  <c r="E229" i="1"/>
  <c r="D229" i="1"/>
  <c r="E228" i="1"/>
  <c r="D228" i="1"/>
  <c r="E225" i="1"/>
  <c r="D225" i="1"/>
  <c r="E224" i="1"/>
  <c r="D224" i="1"/>
  <c r="E223" i="1"/>
  <c r="D223" i="1"/>
  <c r="E222" i="1"/>
  <c r="D222" i="1"/>
  <c r="E219" i="1"/>
  <c r="D219" i="1"/>
  <c r="E218" i="1"/>
  <c r="D218" i="1"/>
  <c r="E217" i="1"/>
  <c r="D217" i="1"/>
  <c r="E214" i="1"/>
  <c r="D214" i="1"/>
  <c r="E213" i="1"/>
  <c r="D213" i="1"/>
  <c r="E212" i="1"/>
  <c r="D212" i="1"/>
  <c r="E209" i="1"/>
  <c r="D209" i="1"/>
  <c r="E208" i="1"/>
  <c r="D208" i="1"/>
  <c r="E207" i="1"/>
  <c r="D207" i="1"/>
  <c r="E204" i="1"/>
  <c r="D204" i="1"/>
  <c r="E203" i="1"/>
  <c r="D203" i="1"/>
  <c r="E202" i="1"/>
  <c r="D202" i="1"/>
  <c r="E199" i="1"/>
  <c r="D199" i="1"/>
  <c r="E198" i="1"/>
  <c r="D198" i="1"/>
  <c r="E197" i="1"/>
  <c r="D197" i="1"/>
  <c r="E196" i="1"/>
  <c r="D196" i="1"/>
  <c r="E192" i="1"/>
  <c r="D192" i="1"/>
  <c r="E191" i="1"/>
  <c r="D191" i="1"/>
  <c r="E190" i="1"/>
  <c r="D190" i="1"/>
  <c r="E187" i="1"/>
  <c r="D187" i="1"/>
  <c r="E186" i="1"/>
  <c r="D186" i="1"/>
  <c r="E185" i="1"/>
  <c r="D185" i="1"/>
  <c r="E182" i="1"/>
  <c r="D182" i="1"/>
  <c r="E181" i="1"/>
  <c r="D181" i="1"/>
  <c r="E180" i="1"/>
  <c r="D180" i="1"/>
  <c r="E177" i="1"/>
  <c r="D177" i="1"/>
  <c r="E176" i="1"/>
  <c r="D176" i="1"/>
  <c r="E175" i="1"/>
  <c r="D175" i="1"/>
  <c r="E172" i="1"/>
  <c r="D172" i="1"/>
  <c r="E171" i="1"/>
  <c r="D171" i="1"/>
  <c r="E170" i="1"/>
  <c r="D170" i="1"/>
  <c r="E167" i="1"/>
  <c r="D167" i="1"/>
  <c r="E166" i="1"/>
  <c r="D166" i="1"/>
  <c r="E165" i="1"/>
  <c r="D165" i="1"/>
  <c r="E161" i="1"/>
  <c r="D161" i="1"/>
  <c r="E160" i="1"/>
  <c r="D160" i="1"/>
  <c r="E159" i="1"/>
  <c r="D159" i="1"/>
  <c r="E156" i="1"/>
  <c r="D156" i="1"/>
  <c r="E155" i="1"/>
  <c r="D155" i="1"/>
  <c r="E154" i="1"/>
  <c r="D154" i="1"/>
  <c r="D153" i="1"/>
  <c r="E150" i="1"/>
  <c r="D150" i="1"/>
  <c r="E149" i="1"/>
  <c r="D149" i="1"/>
  <c r="E148" i="1"/>
  <c r="D148" i="1"/>
  <c r="D147" i="1"/>
  <c r="E143" i="1"/>
  <c r="D143" i="1"/>
  <c r="E142" i="1"/>
  <c r="D142" i="1"/>
  <c r="E141" i="1"/>
  <c r="D141" i="1"/>
  <c r="E138" i="1"/>
  <c r="D138" i="1"/>
  <c r="E137" i="1"/>
  <c r="D137" i="1"/>
  <c r="E136" i="1"/>
  <c r="D136" i="1"/>
  <c r="E131" i="1"/>
  <c r="D131" i="1"/>
  <c r="E130" i="1"/>
  <c r="D130" i="1"/>
  <c r="E129" i="1"/>
  <c r="D129" i="1"/>
  <c r="I112" i="1"/>
  <c r="H112" i="1"/>
  <c r="G112" i="1"/>
  <c r="F112" i="1"/>
  <c r="F111" i="1"/>
  <c r="F110" i="1"/>
  <c r="F108" i="1"/>
  <c r="I103" i="1"/>
  <c r="H103" i="1"/>
  <c r="G103" i="1"/>
  <c r="F103" i="1"/>
  <c r="I102" i="1"/>
  <c r="H102" i="1"/>
  <c r="G102" i="1"/>
  <c r="F102" i="1"/>
  <c r="E90" i="1"/>
  <c r="E86" i="1"/>
  <c r="E85" i="1"/>
  <c r="E84" i="1"/>
  <c r="E30" i="1"/>
  <c r="I5" i="1"/>
  <c r="I7" i="1" s="1"/>
  <c r="H5" i="1"/>
  <c r="G5" i="1"/>
  <c r="G7" i="1" s="1"/>
  <c r="F5" i="1"/>
  <c r="F7" i="1" s="1"/>
  <c r="F49" i="1" s="1"/>
  <c r="E65" i="1"/>
  <c r="E64" i="1"/>
  <c r="E63" i="1"/>
  <c r="E62" i="1"/>
  <c r="E61" i="1"/>
  <c r="E60" i="1"/>
  <c r="E59" i="1"/>
  <c r="E57" i="1"/>
  <c r="D57" i="1"/>
  <c r="E56" i="1"/>
  <c r="D56" i="1"/>
  <c r="E55" i="1"/>
  <c r="E54" i="1"/>
  <c r="E16" i="1"/>
  <c r="E22" i="1"/>
  <c r="E29" i="1"/>
  <c r="E31" i="1"/>
  <c r="E28" i="1"/>
  <c r="D10" i="24"/>
  <c r="C10" i="24"/>
  <c r="B10" i="24"/>
  <c r="O27" i="4"/>
  <c r="N27" i="4"/>
  <c r="M27" i="4"/>
  <c r="O18" i="4"/>
  <c r="O15" i="21" s="1"/>
  <c r="N18" i="4"/>
  <c r="N15" i="21" s="1"/>
  <c r="M18" i="4"/>
  <c r="M15" i="21" s="1"/>
  <c r="O6" i="4"/>
  <c r="O6" i="21" s="1"/>
  <c r="N6" i="4"/>
  <c r="N6" i="21" s="1"/>
  <c r="M6" i="4"/>
  <c r="M6" i="21" s="1"/>
  <c r="L27" i="4"/>
  <c r="L18" i="4"/>
  <c r="L15" i="21" s="1"/>
  <c r="L6" i="4"/>
  <c r="L6" i="21" s="1"/>
  <c r="K18" i="4"/>
  <c r="K15" i="21" s="1"/>
  <c r="J18" i="4"/>
  <c r="J15" i="21" s="1"/>
  <c r="I18" i="4"/>
  <c r="I15" i="21" s="1"/>
  <c r="H18" i="4"/>
  <c r="H15" i="21" s="1"/>
  <c r="G18" i="4"/>
  <c r="G15" i="21" s="1"/>
  <c r="F18" i="4"/>
  <c r="F15" i="21" s="1"/>
  <c r="K27" i="4"/>
  <c r="K6" i="4"/>
  <c r="K6" i="21" s="1"/>
  <c r="G27" i="4"/>
  <c r="F27" i="4"/>
  <c r="C42" i="4"/>
  <c r="J27" i="4"/>
  <c r="I27" i="4"/>
  <c r="H27" i="4"/>
  <c r="J6" i="4"/>
  <c r="J6" i="21" s="1"/>
  <c r="I6" i="4"/>
  <c r="I6" i="21" s="1"/>
  <c r="H6" i="4"/>
  <c r="G6" i="4"/>
  <c r="F6" i="4"/>
  <c r="H58" i="22" l="1"/>
  <c r="U58" i="22" s="1"/>
  <c r="D58" i="25"/>
  <c r="Q58" i="25" s="1"/>
  <c r="D45" i="25"/>
  <c r="Q45" i="25" s="1"/>
  <c r="H243" i="1"/>
  <c r="E45" i="22"/>
  <c r="R45" i="22" s="1"/>
  <c r="G117" i="3"/>
  <c r="K9" i="21"/>
  <c r="K243" i="1"/>
  <c r="I58" i="3"/>
  <c r="I117" i="3" s="1"/>
  <c r="J8" i="22"/>
  <c r="K54" i="25"/>
  <c r="H38" i="25"/>
  <c r="U38" i="25" s="1"/>
  <c r="H51" i="25"/>
  <c r="U51" i="25" s="1"/>
  <c r="C8" i="22"/>
  <c r="C8" i="25" s="1"/>
  <c r="P8" i="25" s="1"/>
  <c r="L53" i="22"/>
  <c r="F58" i="22"/>
  <c r="S58" i="22" s="1"/>
  <c r="D51" i="22"/>
  <c r="Q51" i="22" s="1"/>
  <c r="L51" i="22"/>
  <c r="Y51" i="22" s="1"/>
  <c r="F51" i="22"/>
  <c r="S51" i="22" s="1"/>
  <c r="I53" i="25"/>
  <c r="K53" i="22"/>
  <c r="K58" i="22" s="1"/>
  <c r="X58" i="22" s="1"/>
  <c r="I8" i="22"/>
  <c r="I8" i="25" s="1"/>
  <c r="J53" i="22"/>
  <c r="J58" i="22" s="1"/>
  <c r="W58" i="22" s="1"/>
  <c r="J36" i="23"/>
  <c r="J5" i="23"/>
  <c r="D62" i="1"/>
  <c r="K59" i="25"/>
  <c r="X59" i="25" s="1"/>
  <c r="X54" i="25"/>
  <c r="E59" i="25"/>
  <c r="R59" i="25" s="1"/>
  <c r="R54" i="25"/>
  <c r="C35" i="2"/>
  <c r="D63" i="1"/>
  <c r="L65" i="1"/>
  <c r="H65" i="1"/>
  <c r="N65" i="1"/>
  <c r="I65" i="1"/>
  <c r="K65" i="1"/>
  <c r="J65" i="1"/>
  <c r="O65" i="1"/>
  <c r="F65" i="1"/>
  <c r="H38" i="22"/>
  <c r="U38" i="22" s="1"/>
  <c r="I38" i="25"/>
  <c r="V38" i="25" s="1"/>
  <c r="E38" i="25"/>
  <c r="R38" i="25" s="1"/>
  <c r="J51" i="22"/>
  <c r="W51" i="22" s="1"/>
  <c r="G38" i="22"/>
  <c r="T38" i="22" s="1"/>
  <c r="E8" i="22"/>
  <c r="C51" i="25"/>
  <c r="P51" i="25" s="1"/>
  <c r="C38" i="25"/>
  <c r="U53" i="25"/>
  <c r="E51" i="25"/>
  <c r="R51" i="25" s="1"/>
  <c r="J54" i="25"/>
  <c r="K38" i="25"/>
  <c r="X38" i="25" s="1"/>
  <c r="L51" i="25"/>
  <c r="Y51" i="25" s="1"/>
  <c r="W53" i="22"/>
  <c r="I51" i="22"/>
  <c r="V51" i="22" s="1"/>
  <c r="F38" i="22"/>
  <c r="S38" i="22" s="1"/>
  <c r="I58" i="22"/>
  <c r="V58" i="22" s="1"/>
  <c r="L8" i="22"/>
  <c r="L12" i="22" s="1"/>
  <c r="Y12" i="22" s="1"/>
  <c r="F54" i="22"/>
  <c r="F59" i="22" s="1"/>
  <c r="D51" i="25"/>
  <c r="Q51" i="25" s="1"/>
  <c r="C54" i="25"/>
  <c r="C59" i="25" s="1"/>
  <c r="E58" i="25"/>
  <c r="R58" i="25" s="1"/>
  <c r="F38" i="25"/>
  <c r="S38" i="25" s="1"/>
  <c r="J38" i="25"/>
  <c r="W38" i="25" s="1"/>
  <c r="L58" i="25"/>
  <c r="Y58" i="25" s="1"/>
  <c r="H51" i="22"/>
  <c r="U51" i="22" s="1"/>
  <c r="D38" i="22"/>
  <c r="D41" i="22" s="1"/>
  <c r="D8" i="22"/>
  <c r="D8" i="25" s="1"/>
  <c r="D5" i="23"/>
  <c r="I54" i="25"/>
  <c r="E54" i="22"/>
  <c r="E59" i="22" s="1"/>
  <c r="T54" i="25"/>
  <c r="F51" i="25"/>
  <c r="S51" i="25" s="1"/>
  <c r="G38" i="25"/>
  <c r="T38" i="25" s="1"/>
  <c r="G51" i="22"/>
  <c r="T51" i="22" s="1"/>
  <c r="C38" i="22"/>
  <c r="G58" i="22"/>
  <c r="T58" i="22" s="1"/>
  <c r="D54" i="22"/>
  <c r="E5" i="23"/>
  <c r="I38" i="22"/>
  <c r="V38" i="22" s="1"/>
  <c r="H54" i="25"/>
  <c r="G51" i="25"/>
  <c r="T51" i="25" s="1"/>
  <c r="J51" i="25"/>
  <c r="W51" i="25" s="1"/>
  <c r="K51" i="25"/>
  <c r="X51" i="25" s="1"/>
  <c r="L54" i="25"/>
  <c r="L59" i="25" s="1"/>
  <c r="Y59" i="25" s="1"/>
  <c r="L38" i="22"/>
  <c r="Y38" i="22" s="1"/>
  <c r="J54" i="22"/>
  <c r="J59" i="22" s="1"/>
  <c r="G5" i="23"/>
  <c r="F59" i="25"/>
  <c r="S59" i="25" s="1"/>
  <c r="J38" i="22"/>
  <c r="W38" i="22" s="1"/>
  <c r="L38" i="25"/>
  <c r="Y38" i="25" s="1"/>
  <c r="K51" i="22"/>
  <c r="X51" i="22" s="1"/>
  <c r="I51" i="25"/>
  <c r="V51" i="25" s="1"/>
  <c r="D54" i="25"/>
  <c r="E38" i="22"/>
  <c r="R38" i="22" s="1"/>
  <c r="S54" i="25"/>
  <c r="D38" i="25"/>
  <c r="Q38" i="25" s="1"/>
  <c r="E51" i="22"/>
  <c r="R51" i="22" s="1"/>
  <c r="C51" i="22"/>
  <c r="P51" i="22" s="1"/>
  <c r="K38" i="22"/>
  <c r="X38" i="22" s="1"/>
  <c r="V54" i="22"/>
  <c r="S82" i="5"/>
  <c r="M7" i="4"/>
  <c r="L7" i="4"/>
  <c r="L7" i="21" s="1"/>
  <c r="L4" i="22"/>
  <c r="O57" i="3" s="1"/>
  <c r="O17" i="4" s="1"/>
  <c r="O200" i="3" s="1"/>
  <c r="G4" i="22"/>
  <c r="G4" i="25" s="1"/>
  <c r="T4" i="25" s="1"/>
  <c r="D4" i="22"/>
  <c r="D4" i="25" s="1"/>
  <c r="Q4" i="25" s="1"/>
  <c r="E4" i="22"/>
  <c r="E4" i="25" s="1"/>
  <c r="F4" i="22"/>
  <c r="I57" i="3" s="1"/>
  <c r="G115" i="1"/>
  <c r="G116" i="1" s="1"/>
  <c r="G72" i="4" s="1"/>
  <c r="K115" i="1"/>
  <c r="K116" i="1" s="1"/>
  <c r="K72" i="4" s="1"/>
  <c r="L115" i="1"/>
  <c r="L116" i="1" s="1"/>
  <c r="L72" i="4" s="1"/>
  <c r="L84" i="4" s="1"/>
  <c r="M115" i="1"/>
  <c r="M116" i="1" s="1"/>
  <c r="M72" i="4" s="1"/>
  <c r="N115" i="1"/>
  <c r="N116" i="1" s="1"/>
  <c r="N72" i="4" s="1"/>
  <c r="O115" i="1"/>
  <c r="F115" i="1"/>
  <c r="F116" i="1" s="1"/>
  <c r="F72" i="4" s="1"/>
  <c r="H115" i="1"/>
  <c r="H116" i="1" s="1"/>
  <c r="H72" i="4" s="1"/>
  <c r="I115" i="1"/>
  <c r="I116" i="1" s="1"/>
  <c r="I72" i="4" s="1"/>
  <c r="J115" i="1"/>
  <c r="J116" i="1" s="1"/>
  <c r="J72" i="4" s="1"/>
  <c r="I171" i="3"/>
  <c r="J171" i="3"/>
  <c r="K171" i="3"/>
  <c r="L171" i="3"/>
  <c r="M171" i="3"/>
  <c r="N171" i="3"/>
  <c r="O171" i="3"/>
  <c r="F171" i="3"/>
  <c r="G171" i="3"/>
  <c r="H171" i="3"/>
  <c r="K170" i="3"/>
  <c r="L170" i="3"/>
  <c r="M170" i="3"/>
  <c r="N170" i="3"/>
  <c r="O170" i="3"/>
  <c r="F170" i="3"/>
  <c r="G170" i="3"/>
  <c r="H170" i="3"/>
  <c r="I170" i="3"/>
  <c r="J170" i="3"/>
  <c r="G65" i="1"/>
  <c r="M65" i="1"/>
  <c r="A2" i="1"/>
  <c r="F8" i="1"/>
  <c r="F248" i="1" s="1"/>
  <c r="O7" i="4"/>
  <c r="O7" i="21" s="1"/>
  <c r="M243" i="1"/>
  <c r="O49" i="1"/>
  <c r="O243" i="1"/>
  <c r="O9" i="21"/>
  <c r="M9" i="21"/>
  <c r="O251" i="1"/>
  <c r="O250" i="1"/>
  <c r="G66" i="3"/>
  <c r="F46" i="1"/>
  <c r="F47" i="1" s="1"/>
  <c r="F48" i="1" s="1"/>
  <c r="G9" i="21"/>
  <c r="D19" i="3"/>
  <c r="G243" i="1"/>
  <c r="F243" i="1"/>
  <c r="F9" i="21"/>
  <c r="I243" i="1"/>
  <c r="G109" i="1"/>
  <c r="L243" i="1"/>
  <c r="J9" i="21"/>
  <c r="J7" i="4"/>
  <c r="J7" i="21" s="1"/>
  <c r="G111" i="1"/>
  <c r="F109" i="1"/>
  <c r="F113" i="1" s="1"/>
  <c r="I7" i="4"/>
  <c r="I7" i="21" s="1"/>
  <c r="K7" i="4"/>
  <c r="K7" i="21" s="1"/>
  <c r="G108" i="1"/>
  <c r="I6" i="1"/>
  <c r="I128" i="1" s="1"/>
  <c r="A2" i="4"/>
  <c r="J243" i="1"/>
  <c r="J66" i="3"/>
  <c r="J8" i="4" s="1"/>
  <c r="J8" i="21" s="1"/>
  <c r="O116" i="1"/>
  <c r="O72" i="4" s="1"/>
  <c r="O84" i="4" s="1"/>
  <c r="G3" i="25"/>
  <c r="T3" i="25" s="1"/>
  <c r="J6" i="1"/>
  <c r="L6" i="1"/>
  <c r="L128" i="1" s="1"/>
  <c r="L129" i="1" s="1"/>
  <c r="K6" i="1"/>
  <c r="G6" i="1"/>
  <c r="N6" i="1"/>
  <c r="H3" i="25"/>
  <c r="U3" i="25" s="1"/>
  <c r="S3" i="22"/>
  <c r="F3" i="25"/>
  <c r="S3" i="25" s="1"/>
  <c r="Q3" i="22"/>
  <c r="O6" i="1"/>
  <c r="O128" i="1" s="1"/>
  <c r="O129" i="1" s="1"/>
  <c r="R3" i="22"/>
  <c r="H6" i="1"/>
  <c r="H128" i="1" s="1"/>
  <c r="F20" i="22"/>
  <c r="P32" i="25"/>
  <c r="E32" i="25"/>
  <c r="S20" i="22"/>
  <c r="F19" i="22"/>
  <c r="G48" i="3"/>
  <c r="H48" i="3"/>
  <c r="I48" i="3"/>
  <c r="J48" i="3"/>
  <c r="K48" i="3"/>
  <c r="L48" i="3"/>
  <c r="M48" i="3"/>
  <c r="N48" i="3"/>
  <c r="O48" i="3"/>
  <c r="F48" i="3"/>
  <c r="W54" i="22"/>
  <c r="W59" i="22"/>
  <c r="H7" i="1"/>
  <c r="P53" i="25"/>
  <c r="C58" i="25"/>
  <c r="P58" i="25" s="1"/>
  <c r="Y3" i="25"/>
  <c r="F6" i="21"/>
  <c r="F7" i="4"/>
  <c r="O249" i="1"/>
  <c r="G6" i="21"/>
  <c r="G7" i="4"/>
  <c r="F66" i="3"/>
  <c r="F117" i="3"/>
  <c r="H66" i="3"/>
  <c r="H117" i="3"/>
  <c r="M7" i="21"/>
  <c r="S59" i="22"/>
  <c r="S54" i="22"/>
  <c r="P59" i="25"/>
  <c r="Q62" i="22"/>
  <c r="H6" i="21"/>
  <c r="H7" i="4"/>
  <c r="M8" i="1"/>
  <c r="M49" i="1"/>
  <c r="Q33" i="25"/>
  <c r="X53" i="25"/>
  <c r="K58" i="25"/>
  <c r="X58" i="25" s="1"/>
  <c r="Q62" i="25"/>
  <c r="P3" i="22"/>
  <c r="C3" i="25"/>
  <c r="N7" i="4"/>
  <c r="M46" i="1"/>
  <c r="M47" i="1" s="1"/>
  <c r="M48" i="1" s="1"/>
  <c r="I8" i="1"/>
  <c r="I46" i="1"/>
  <c r="I47" i="1" s="1"/>
  <c r="I48" i="1" s="1"/>
  <c r="I49" i="1"/>
  <c r="U56" i="25"/>
  <c r="G46" i="1"/>
  <c r="G47" i="1" s="1"/>
  <c r="G48" i="1" s="1"/>
  <c r="G8" i="1"/>
  <c r="G49" i="1"/>
  <c r="V56" i="25"/>
  <c r="I197" i="3"/>
  <c r="M6" i="1"/>
  <c r="S53" i="25"/>
  <c r="F58" i="25"/>
  <c r="S58" i="25" s="1"/>
  <c r="R33" i="25"/>
  <c r="H12" i="22"/>
  <c r="U12" i="22" s="1"/>
  <c r="U8" i="22"/>
  <c r="R54" i="22"/>
  <c r="R59" i="22"/>
  <c r="P33" i="25"/>
  <c r="V8" i="25"/>
  <c r="Q3" i="25"/>
  <c r="N8" i="1"/>
  <c r="N49" i="1"/>
  <c r="N46" i="1"/>
  <c r="N47" i="1" s="1"/>
  <c r="N48" i="1" s="1"/>
  <c r="T53" i="25"/>
  <c r="G58" i="25"/>
  <c r="T58" i="25" s="1"/>
  <c r="J8" i="1"/>
  <c r="J49" i="1"/>
  <c r="P56" i="25"/>
  <c r="W56" i="25"/>
  <c r="L8" i="25"/>
  <c r="U33" i="25"/>
  <c r="E39" i="22"/>
  <c r="D39" i="25"/>
  <c r="Q39" i="25" s="1"/>
  <c r="X3" i="22"/>
  <c r="C41" i="22"/>
  <c r="P38" i="22"/>
  <c r="P41" i="22" s="1"/>
  <c r="W3" i="22"/>
  <c r="J3" i="25"/>
  <c r="X3" i="25"/>
  <c r="I3" i="25"/>
  <c r="L49" i="1"/>
  <c r="L8" i="1"/>
  <c r="O46" i="1"/>
  <c r="O47" i="1" s="1"/>
  <c r="O48" i="1" s="1"/>
  <c r="F6" i="1"/>
  <c r="O195" i="1"/>
  <c r="P46" i="25"/>
  <c r="W8" i="22"/>
  <c r="K8" i="1"/>
  <c r="K46" i="1"/>
  <c r="K47" i="1" s="1"/>
  <c r="K48" i="1" s="1"/>
  <c r="K49" i="1"/>
  <c r="R46" i="25"/>
  <c r="Y3" i="22"/>
  <c r="Q4" i="22"/>
  <c r="C12" i="22"/>
  <c r="P12" i="22" s="1"/>
  <c r="P8" i="22"/>
  <c r="V8" i="22"/>
  <c r="I12" i="22"/>
  <c r="V12" i="22" s="1"/>
  <c r="K57" i="3"/>
  <c r="U4" i="22"/>
  <c r="O45" i="3"/>
  <c r="K45" i="3"/>
  <c r="H45" i="3"/>
  <c r="M45" i="3"/>
  <c r="L45" i="3"/>
  <c r="F45" i="3"/>
  <c r="G45" i="3"/>
  <c r="N45" i="3"/>
  <c r="J45" i="3"/>
  <c r="I45" i="3"/>
  <c r="F8" i="22"/>
  <c r="G8" i="22"/>
  <c r="K8" i="22"/>
  <c r="K54" i="22"/>
  <c r="K59" i="22" s="1"/>
  <c r="L54" i="22"/>
  <c r="L59" i="22" s="1"/>
  <c r="G54" i="22"/>
  <c r="G59" i="22" s="1"/>
  <c r="C54" i="22"/>
  <c r="C59" i="22" s="1"/>
  <c r="X53" i="22"/>
  <c r="F5" i="23"/>
  <c r="I5" i="23"/>
  <c r="C5" i="23"/>
  <c r="L5" i="23"/>
  <c r="M66" i="3"/>
  <c r="M117" i="3"/>
  <c r="I46" i="3"/>
  <c r="H46" i="3"/>
  <c r="G46" i="3"/>
  <c r="L46" i="3"/>
  <c r="O46" i="3"/>
  <c r="J46" i="3"/>
  <c r="F46" i="3"/>
  <c r="K46" i="3"/>
  <c r="M46" i="3"/>
  <c r="N46" i="3"/>
  <c r="E22" i="3"/>
  <c r="E19" i="3"/>
  <c r="H44" i="3"/>
  <c r="N44" i="3"/>
  <c r="I44" i="3"/>
  <c r="O44" i="3"/>
  <c r="L44" i="3"/>
  <c r="M44" i="3"/>
  <c r="F44" i="3"/>
  <c r="G44" i="3"/>
  <c r="J44" i="3"/>
  <c r="K44" i="3"/>
  <c r="K184" i="3"/>
  <c r="L184" i="3"/>
  <c r="I184" i="3"/>
  <c r="G184" i="3"/>
  <c r="N184" i="3"/>
  <c r="M184" i="3"/>
  <c r="O184" i="3"/>
  <c r="H184" i="3"/>
  <c r="J184" i="3"/>
  <c r="F184" i="3"/>
  <c r="N42" i="3"/>
  <c r="H42" i="3"/>
  <c r="M42" i="3"/>
  <c r="O42" i="3"/>
  <c r="G42" i="3"/>
  <c r="J42" i="3"/>
  <c r="I42" i="3"/>
  <c r="F42" i="3"/>
  <c r="L42" i="3"/>
  <c r="J40" i="3"/>
  <c r="M40" i="3"/>
  <c r="K40" i="3"/>
  <c r="G40" i="3"/>
  <c r="L40" i="3"/>
  <c r="O40" i="3"/>
  <c r="I40" i="3"/>
  <c r="F40" i="3"/>
  <c r="N40" i="3"/>
  <c r="H40" i="3"/>
  <c r="R82" i="5"/>
  <c r="T82" i="5" s="1"/>
  <c r="N38" i="3"/>
  <c r="H38" i="3"/>
  <c r="M38" i="3"/>
  <c r="G38" i="3"/>
  <c r="I38" i="3"/>
  <c r="L38" i="3"/>
  <c r="F38" i="3"/>
  <c r="O38" i="3"/>
  <c r="K38" i="3"/>
  <c r="C7" i="3"/>
  <c r="C8" i="3"/>
  <c r="C6" i="3"/>
  <c r="E10" i="3"/>
  <c r="E24" i="3"/>
  <c r="F80" i="3"/>
  <c r="O66" i="3"/>
  <c r="H54" i="3"/>
  <c r="G196" i="3"/>
  <c r="G152" i="3"/>
  <c r="G165" i="3" s="1"/>
  <c r="G56" i="3"/>
  <c r="H55" i="3"/>
  <c r="G123" i="3"/>
  <c r="K66" i="3"/>
  <c r="L58" i="3"/>
  <c r="N58" i="3"/>
  <c r="G138" i="3" l="1"/>
  <c r="T4" i="22"/>
  <c r="J57" i="3"/>
  <c r="N66" i="3"/>
  <c r="N8" i="4" s="1"/>
  <c r="N8" i="21" s="1"/>
  <c r="I66" i="3"/>
  <c r="I139" i="3"/>
  <c r="F195" i="1"/>
  <c r="F199" i="1" s="1"/>
  <c r="Y4" i="22"/>
  <c r="Q8" i="22"/>
  <c r="Y53" i="22"/>
  <c r="L58" i="22"/>
  <c r="Y58" i="22" s="1"/>
  <c r="D12" i="22"/>
  <c r="Q12" i="22" s="1"/>
  <c r="Q38" i="22"/>
  <c r="Q41" i="22" s="1"/>
  <c r="V53" i="25"/>
  <c r="I58" i="25"/>
  <c r="V58" i="25" s="1"/>
  <c r="J12" i="22"/>
  <c r="W12" i="22" s="1"/>
  <c r="J8" i="25"/>
  <c r="W8" i="25" s="1"/>
  <c r="D59" i="25"/>
  <c r="Q59" i="25" s="1"/>
  <c r="Q54" i="25"/>
  <c r="I41" i="3"/>
  <c r="F123" i="22" s="1"/>
  <c r="E12" i="22"/>
  <c r="R12" i="22" s="1"/>
  <c r="E8" i="25"/>
  <c r="R8" i="25" s="1"/>
  <c r="Q41" i="25"/>
  <c r="D59" i="22"/>
  <c r="Q59" i="22" s="1"/>
  <c r="Q54" i="22"/>
  <c r="I59" i="25"/>
  <c r="V59" i="25" s="1"/>
  <c r="V54" i="25"/>
  <c r="Y54" i="25"/>
  <c r="C41" i="25"/>
  <c r="P38" i="25"/>
  <c r="P41" i="25" s="1"/>
  <c r="H59" i="25"/>
  <c r="U59" i="25" s="1"/>
  <c r="U54" i="25"/>
  <c r="R8" i="22"/>
  <c r="Y8" i="22"/>
  <c r="P54" i="25"/>
  <c r="J59" i="25"/>
  <c r="W59" i="25" s="1"/>
  <c r="W54" i="25"/>
  <c r="S4" i="22"/>
  <c r="L4" i="25"/>
  <c r="Y4" i="25" s="1"/>
  <c r="F4" i="25"/>
  <c r="S4" i="25" s="1"/>
  <c r="H57" i="3"/>
  <c r="H17" i="4" s="1"/>
  <c r="R4" i="22"/>
  <c r="G57" i="3"/>
  <c r="G17" i="4" s="1"/>
  <c r="J67" i="3"/>
  <c r="G139" i="3"/>
  <c r="G15" i="4" s="1"/>
  <c r="G12" i="21" s="1"/>
  <c r="J138" i="3"/>
  <c r="J139" i="3"/>
  <c r="J15" i="4" s="1"/>
  <c r="J12" i="21" s="1"/>
  <c r="O41" i="3"/>
  <c r="L123" i="22" s="1"/>
  <c r="H41" i="3"/>
  <c r="E123" i="22" s="1"/>
  <c r="G113" i="1"/>
  <c r="G71" i="4" s="1"/>
  <c r="F32" i="21"/>
  <c r="F71" i="4"/>
  <c r="D6" i="3"/>
  <c r="N41" i="3"/>
  <c r="K123" i="22" s="1"/>
  <c r="F41" i="3"/>
  <c r="C123" i="22" s="1"/>
  <c r="O14" i="21"/>
  <c r="G8" i="4"/>
  <c r="G8" i="21" s="1"/>
  <c r="G67" i="3"/>
  <c r="G128" i="1"/>
  <c r="G131" i="1" s="1"/>
  <c r="J128" i="1"/>
  <c r="N128" i="1"/>
  <c r="N129" i="1" s="1"/>
  <c r="K128" i="1"/>
  <c r="G20" i="22"/>
  <c r="E45" i="25"/>
  <c r="R45" i="25" s="1"/>
  <c r="R32" i="25"/>
  <c r="G19" i="22"/>
  <c r="F92" i="3"/>
  <c r="C125" i="22"/>
  <c r="O92" i="3"/>
  <c r="L125" i="22"/>
  <c r="I125" i="22"/>
  <c r="L92" i="3"/>
  <c r="H125" i="22"/>
  <c r="K92" i="3"/>
  <c r="J125" i="22"/>
  <c r="M92" i="3"/>
  <c r="J92" i="3"/>
  <c r="G125" i="22"/>
  <c r="K125" i="22"/>
  <c r="N92" i="3"/>
  <c r="I92" i="3"/>
  <c r="F125" i="22"/>
  <c r="H92" i="3"/>
  <c r="E125" i="22"/>
  <c r="G92" i="3"/>
  <c r="D125" i="22"/>
  <c r="H84" i="4"/>
  <c r="F250" i="1"/>
  <c r="F251" i="1"/>
  <c r="G7" i="21"/>
  <c r="I84" i="4"/>
  <c r="I195" i="1"/>
  <c r="I248" i="1"/>
  <c r="N139" i="3"/>
  <c r="N67" i="3"/>
  <c r="O139" i="3"/>
  <c r="O67" i="3"/>
  <c r="O138" i="3"/>
  <c r="O8" i="4"/>
  <c r="O8" i="21" s="1"/>
  <c r="L57" i="3"/>
  <c r="V4" i="22"/>
  <c r="I4" i="25"/>
  <c r="N7" i="21"/>
  <c r="L248" i="1"/>
  <c r="L195" i="1"/>
  <c r="F249" i="1"/>
  <c r="F124" i="22"/>
  <c r="K12" i="22"/>
  <c r="X12" i="22" s="1"/>
  <c r="X8" i="22"/>
  <c r="K8" i="25"/>
  <c r="M57" i="3"/>
  <c r="W4" i="22"/>
  <c r="J4" i="25"/>
  <c r="J248" i="1"/>
  <c r="J195" i="1"/>
  <c r="R62" i="22"/>
  <c r="H253" i="1"/>
  <c r="H129" i="1"/>
  <c r="H131" i="1"/>
  <c r="H189" i="1"/>
  <c r="H130" i="1"/>
  <c r="M84" i="4"/>
  <c r="S8" i="22"/>
  <c r="F8" i="25"/>
  <c r="F12" i="22"/>
  <c r="S12" i="22" s="1"/>
  <c r="D41" i="25"/>
  <c r="I72" i="3"/>
  <c r="I15" i="4"/>
  <c r="I12" i="21" s="1"/>
  <c r="O197" i="1"/>
  <c r="O201" i="1"/>
  <c r="O199" i="1"/>
  <c r="G124" i="22"/>
  <c r="N248" i="1"/>
  <c r="N195" i="1"/>
  <c r="G12" i="22"/>
  <c r="T12" i="22" s="1"/>
  <c r="T8" i="22"/>
  <c r="G8" i="25"/>
  <c r="D124" i="22"/>
  <c r="R62" i="25"/>
  <c r="D7" i="3"/>
  <c r="D8" i="3"/>
  <c r="C124" i="22"/>
  <c r="F7" i="21"/>
  <c r="F39" i="22"/>
  <c r="R39" i="22"/>
  <c r="R41" i="22" s="1"/>
  <c r="E39" i="25"/>
  <c r="E41" i="22"/>
  <c r="M138" i="3"/>
  <c r="M67" i="3"/>
  <c r="M139" i="3"/>
  <c r="M8" i="4"/>
  <c r="M8" i="21" s="1"/>
  <c r="I17" i="4"/>
  <c r="Y8" i="25"/>
  <c r="F57" i="3"/>
  <c r="P4" i="22"/>
  <c r="C4" i="25"/>
  <c r="L130" i="1"/>
  <c r="L189" i="1"/>
  <c r="L253" i="1"/>
  <c r="L131" i="1"/>
  <c r="F67" i="3"/>
  <c r="F138" i="3"/>
  <c r="F139" i="3"/>
  <c r="F8" i="4"/>
  <c r="F8" i="21" s="1"/>
  <c r="K67" i="3"/>
  <c r="K139" i="3"/>
  <c r="K138" i="3"/>
  <c r="K8" i="4"/>
  <c r="K8" i="21" s="1"/>
  <c r="L124" i="22"/>
  <c r="W3" i="25"/>
  <c r="K248" i="1"/>
  <c r="K195" i="1"/>
  <c r="I253" i="1"/>
  <c r="I189" i="1"/>
  <c r="I130" i="1"/>
  <c r="N84" i="4"/>
  <c r="L117" i="3"/>
  <c r="L66" i="3"/>
  <c r="K41" i="3"/>
  <c r="H123" i="22" s="1"/>
  <c r="P59" i="22"/>
  <c r="P54" i="22"/>
  <c r="V3" i="25"/>
  <c r="P3" i="25"/>
  <c r="O47" i="4"/>
  <c r="J124" i="22"/>
  <c r="F84" i="4"/>
  <c r="E124" i="22"/>
  <c r="F32" i="25"/>
  <c r="S32" i="22"/>
  <c r="F45" i="22"/>
  <c r="S45" i="22" s="1"/>
  <c r="G248" i="1"/>
  <c r="G195" i="1"/>
  <c r="G84" i="4"/>
  <c r="C11" i="3"/>
  <c r="M41" i="3"/>
  <c r="J123" i="22" s="1"/>
  <c r="T54" i="22"/>
  <c r="T59" i="22"/>
  <c r="J17" i="4"/>
  <c r="K84" i="4"/>
  <c r="M248" i="1"/>
  <c r="M195" i="1"/>
  <c r="H67" i="3"/>
  <c r="H138" i="3"/>
  <c r="H139" i="3"/>
  <c r="H8" i="4"/>
  <c r="H8" i="21" s="1"/>
  <c r="J84" i="4"/>
  <c r="M128" i="1"/>
  <c r="N117" i="3"/>
  <c r="Q8" i="25"/>
  <c r="I55" i="3"/>
  <c r="H123" i="3"/>
  <c r="G79" i="3"/>
  <c r="G80" i="3"/>
  <c r="K124" i="22"/>
  <c r="R4" i="25"/>
  <c r="I129" i="1"/>
  <c r="H196" i="3"/>
  <c r="H56" i="3"/>
  <c r="I54" i="3"/>
  <c r="H152" i="3"/>
  <c r="H165" i="3" s="1"/>
  <c r="H111" i="1"/>
  <c r="H110" i="1"/>
  <c r="H108" i="1"/>
  <c r="H109" i="1"/>
  <c r="J41" i="3"/>
  <c r="G123" i="22" s="1"/>
  <c r="Y54" i="22"/>
  <c r="Y59" i="22"/>
  <c r="K17" i="4"/>
  <c r="H7" i="21"/>
  <c r="L41" i="3"/>
  <c r="I123" i="22" s="1"/>
  <c r="G41" i="3"/>
  <c r="D123" i="22" s="1"/>
  <c r="I124" i="22"/>
  <c r="X54" i="22"/>
  <c r="X59" i="22"/>
  <c r="I131" i="1"/>
  <c r="F128" i="1"/>
  <c r="O253" i="1"/>
  <c r="O130" i="1"/>
  <c r="O131" i="1"/>
  <c r="O189" i="1"/>
  <c r="J197" i="3"/>
  <c r="X4" i="22"/>
  <c r="K4" i="25"/>
  <c r="N57" i="3"/>
  <c r="F201" i="1"/>
  <c r="H8" i="1"/>
  <c r="H49" i="1"/>
  <c r="H46" i="1"/>
  <c r="H47" i="1" s="1"/>
  <c r="H48" i="1" s="1"/>
  <c r="N138" i="3" l="1"/>
  <c r="F197" i="1"/>
  <c r="G72" i="3"/>
  <c r="I8" i="4"/>
  <c r="I8" i="21" s="1"/>
  <c r="I67" i="3"/>
  <c r="I138" i="3"/>
  <c r="J72" i="3"/>
  <c r="G32" i="21"/>
  <c r="F83" i="4"/>
  <c r="D11" i="3"/>
  <c r="G83" i="4"/>
  <c r="H113" i="1"/>
  <c r="H32" i="21" s="1"/>
  <c r="G253" i="1"/>
  <c r="G256" i="1" s="1"/>
  <c r="G130" i="1"/>
  <c r="G189" i="1"/>
  <c r="G192" i="1" s="1"/>
  <c r="N130" i="1"/>
  <c r="N131" i="1"/>
  <c r="N253" i="1"/>
  <c r="N254" i="1" s="1"/>
  <c r="N48" i="4" s="1"/>
  <c r="N189" i="1"/>
  <c r="N192" i="1" s="1"/>
  <c r="J189" i="1"/>
  <c r="J129" i="1"/>
  <c r="J253" i="1"/>
  <c r="J130" i="1"/>
  <c r="J131" i="1"/>
  <c r="G129" i="1"/>
  <c r="K130" i="1"/>
  <c r="K253" i="1"/>
  <c r="K131" i="1"/>
  <c r="K129" i="1"/>
  <c r="K189" i="1"/>
  <c r="T20" i="22"/>
  <c r="R39" i="25"/>
  <c r="R41" i="25" s="1"/>
  <c r="E41" i="25"/>
  <c r="H190" i="1"/>
  <c r="H191" i="1"/>
  <c r="H192" i="1"/>
  <c r="I200" i="3"/>
  <c r="I14" i="21"/>
  <c r="W4" i="25"/>
  <c r="K197" i="3"/>
  <c r="H72" i="3"/>
  <c r="H15" i="4"/>
  <c r="H12" i="21" s="1"/>
  <c r="I255" i="1"/>
  <c r="I254" i="1"/>
  <c r="I256" i="1"/>
  <c r="N250" i="1"/>
  <c r="N249" i="1"/>
  <c r="N251" i="1"/>
  <c r="H254" i="1"/>
  <c r="H256" i="1"/>
  <c r="H255" i="1"/>
  <c r="V4" i="25"/>
  <c r="G251" i="1"/>
  <c r="G249" i="1"/>
  <c r="G250" i="1"/>
  <c r="K72" i="3"/>
  <c r="K15" i="4"/>
  <c r="K12" i="21" s="1"/>
  <c r="H200" i="3"/>
  <c r="H14" i="21"/>
  <c r="I191" i="1"/>
  <c r="I190" i="1"/>
  <c r="I192" i="1"/>
  <c r="L190" i="1"/>
  <c r="L191" i="1"/>
  <c r="L192" i="1"/>
  <c r="F39" i="25"/>
  <c r="S39" i="22"/>
  <c r="S41" i="22" s="1"/>
  <c r="G39" i="22"/>
  <c r="F41" i="22"/>
  <c r="N197" i="1"/>
  <c r="N201" i="1"/>
  <c r="N199" i="1"/>
  <c r="S8" i="25"/>
  <c r="O191" i="1"/>
  <c r="O192" i="1"/>
  <c r="O190" i="1"/>
  <c r="T32" i="22"/>
  <c r="G32" i="25"/>
  <c r="G45" i="22"/>
  <c r="T45" i="22" s="1"/>
  <c r="S62" i="25"/>
  <c r="S62" i="22"/>
  <c r="M17" i="4"/>
  <c r="N72" i="3"/>
  <c r="N15" i="4"/>
  <c r="N12" i="21" s="1"/>
  <c r="J250" i="1"/>
  <c r="J249" i="1"/>
  <c r="J251" i="1"/>
  <c r="K200" i="3"/>
  <c r="K14" i="21"/>
  <c r="L17" i="4"/>
  <c r="K201" i="1"/>
  <c r="K197" i="1"/>
  <c r="K199" i="1"/>
  <c r="M253" i="1"/>
  <c r="M189" i="1"/>
  <c r="M130" i="1"/>
  <c r="M131" i="1"/>
  <c r="M129" i="1"/>
  <c r="G200" i="3"/>
  <c r="G14" i="21"/>
  <c r="F47" i="4"/>
  <c r="O254" i="1"/>
  <c r="O256" i="1"/>
  <c r="O255" i="1"/>
  <c r="I56" i="3"/>
  <c r="J54" i="3"/>
  <c r="I196" i="3"/>
  <c r="I152" i="3"/>
  <c r="I165" i="3" s="1"/>
  <c r="I111" i="1"/>
  <c r="I109" i="1"/>
  <c r="I108" i="1"/>
  <c r="I110" i="1"/>
  <c r="M201" i="1"/>
  <c r="M197" i="1"/>
  <c r="M199" i="1"/>
  <c r="F45" i="25"/>
  <c r="S45" i="25" s="1"/>
  <c r="S32" i="25"/>
  <c r="K251" i="1"/>
  <c r="K249" i="1"/>
  <c r="K250" i="1"/>
  <c r="P4" i="25"/>
  <c r="L250" i="1"/>
  <c r="L251" i="1"/>
  <c r="L249" i="1"/>
  <c r="J55" i="3"/>
  <c r="I123" i="3"/>
  <c r="L139" i="3"/>
  <c r="L138" i="3"/>
  <c r="L67" i="3"/>
  <c r="L8" i="4"/>
  <c r="L8" i="21" s="1"/>
  <c r="O204" i="1"/>
  <c r="O206" i="1"/>
  <c r="O202" i="1"/>
  <c r="O203" i="1"/>
  <c r="H195" i="1"/>
  <c r="H248" i="1"/>
  <c r="H79" i="3"/>
  <c r="H80" i="3"/>
  <c r="M249" i="1"/>
  <c r="M250" i="1"/>
  <c r="M251" i="1"/>
  <c r="M72" i="3"/>
  <c r="M15" i="4"/>
  <c r="M12" i="21" s="1"/>
  <c r="T8" i="25"/>
  <c r="E11" i="3"/>
  <c r="F204" i="1"/>
  <c r="F202" i="1"/>
  <c r="F206" i="1"/>
  <c r="F203" i="1"/>
  <c r="L254" i="1"/>
  <c r="L255" i="1"/>
  <c r="L256" i="1"/>
  <c r="X8" i="25"/>
  <c r="X4" i="25"/>
  <c r="F17" i="4"/>
  <c r="O72" i="3"/>
  <c r="O15" i="4"/>
  <c r="O12" i="21" s="1"/>
  <c r="I250" i="1"/>
  <c r="I249" i="1"/>
  <c r="I251" i="1"/>
  <c r="G197" i="1"/>
  <c r="G201" i="1"/>
  <c r="G199" i="1"/>
  <c r="N17" i="4"/>
  <c r="J200" i="3"/>
  <c r="J14" i="21"/>
  <c r="F72" i="3"/>
  <c r="F15" i="4"/>
  <c r="F12" i="21" s="1"/>
  <c r="F253" i="1"/>
  <c r="F189" i="1"/>
  <c r="F130" i="1"/>
  <c r="F131" i="1"/>
  <c r="F129" i="1"/>
  <c r="J201" i="1"/>
  <c r="J197" i="1"/>
  <c r="J199" i="1"/>
  <c r="L201" i="1"/>
  <c r="L197" i="1"/>
  <c r="L199" i="1"/>
  <c r="I201" i="1"/>
  <c r="I197" i="1"/>
  <c r="I199" i="1"/>
  <c r="G254" i="1" l="1"/>
  <c r="H71" i="4"/>
  <c r="G190" i="1"/>
  <c r="G255" i="1"/>
  <c r="G191" i="1"/>
  <c r="N191" i="1"/>
  <c r="N256" i="1"/>
  <c r="N255" i="1"/>
  <c r="N190" i="1"/>
  <c r="J254" i="1"/>
  <c r="J256" i="1"/>
  <c r="J255" i="1"/>
  <c r="J191" i="1"/>
  <c r="J192" i="1"/>
  <c r="J190" i="1"/>
  <c r="K190" i="1"/>
  <c r="K191" i="1"/>
  <c r="K192" i="1"/>
  <c r="K254" i="1"/>
  <c r="K256" i="1"/>
  <c r="K255" i="1"/>
  <c r="G48" i="4"/>
  <c r="M47" i="4"/>
  <c r="H48" i="4"/>
  <c r="I113" i="1"/>
  <c r="T62" i="22"/>
  <c r="S39" i="25"/>
  <c r="S41" i="25" s="1"/>
  <c r="F41" i="25"/>
  <c r="F211" i="1"/>
  <c r="F209" i="1"/>
  <c r="F207" i="1"/>
  <c r="F208" i="1"/>
  <c r="H201" i="1"/>
  <c r="H197" i="1"/>
  <c r="H199" i="1"/>
  <c r="L72" i="3"/>
  <c r="L15" i="4"/>
  <c r="L12" i="21" s="1"/>
  <c r="L200" i="3"/>
  <c r="L14" i="21"/>
  <c r="L49" i="4"/>
  <c r="L47" i="4"/>
  <c r="M206" i="1"/>
  <c r="M204" i="1"/>
  <c r="M203" i="1"/>
  <c r="M202" i="1"/>
  <c r="H83" i="4"/>
  <c r="L197" i="3"/>
  <c r="O48" i="4"/>
  <c r="M200" i="3"/>
  <c r="M14" i="21"/>
  <c r="G47" i="4"/>
  <c r="G204" i="1"/>
  <c r="G206" i="1"/>
  <c r="G202" i="1"/>
  <c r="G203" i="1"/>
  <c r="M191" i="1"/>
  <c r="M192" i="1"/>
  <c r="M190" i="1"/>
  <c r="L204" i="1"/>
  <c r="L206" i="1"/>
  <c r="L203" i="1"/>
  <c r="L202" i="1"/>
  <c r="N47" i="4"/>
  <c r="J47" i="4"/>
  <c r="J204" i="1"/>
  <c r="J206" i="1"/>
  <c r="J202" i="1"/>
  <c r="J203" i="1"/>
  <c r="F192" i="1"/>
  <c r="F191" i="1"/>
  <c r="F190" i="1"/>
  <c r="K204" i="1"/>
  <c r="K206" i="1"/>
  <c r="K202" i="1"/>
  <c r="K203" i="1"/>
  <c r="I49" i="4"/>
  <c r="I48" i="4"/>
  <c r="T39" i="22"/>
  <c r="T41" i="22" s="1"/>
  <c r="H39" i="22"/>
  <c r="G41" i="22"/>
  <c r="G39" i="25"/>
  <c r="I204" i="1"/>
  <c r="I206" i="1"/>
  <c r="I203" i="1"/>
  <c r="I202" i="1"/>
  <c r="H249" i="1"/>
  <c r="H251" i="1"/>
  <c r="H250" i="1"/>
  <c r="K47" i="4"/>
  <c r="F254" i="1"/>
  <c r="F48" i="4" s="1"/>
  <c r="F255" i="1"/>
  <c r="F256" i="1"/>
  <c r="I47" i="4"/>
  <c r="F200" i="3"/>
  <c r="F14" i="21"/>
  <c r="J56" i="3"/>
  <c r="J152" i="3"/>
  <c r="J165" i="3" s="1"/>
  <c r="K54" i="3"/>
  <c r="J196" i="3"/>
  <c r="J109" i="1"/>
  <c r="J110" i="1"/>
  <c r="J111" i="1"/>
  <c r="J108" i="1"/>
  <c r="H45" i="22"/>
  <c r="U45" i="22" s="1"/>
  <c r="H32" i="25"/>
  <c r="U32" i="22"/>
  <c r="T62" i="25"/>
  <c r="K55" i="3"/>
  <c r="J123" i="3"/>
  <c r="O49" i="4"/>
  <c r="L48" i="4"/>
  <c r="M255" i="1"/>
  <c r="M256" i="1"/>
  <c r="M254" i="1"/>
  <c r="N200" i="3"/>
  <c r="N14" i="21"/>
  <c r="J39" i="3"/>
  <c r="L39" i="3"/>
  <c r="O39" i="3"/>
  <c r="N39" i="3"/>
  <c r="G39" i="3"/>
  <c r="F39" i="3"/>
  <c r="I39" i="3"/>
  <c r="H39" i="3"/>
  <c r="M39" i="3"/>
  <c r="K39" i="3"/>
  <c r="O211" i="1"/>
  <c r="O207" i="1"/>
  <c r="O208" i="1"/>
  <c r="O209" i="1"/>
  <c r="I79" i="3"/>
  <c r="I80" i="3"/>
  <c r="T32" i="25"/>
  <c r="G45" i="25"/>
  <c r="T45" i="25" s="1"/>
  <c r="N204" i="1"/>
  <c r="N206" i="1"/>
  <c r="N203" i="1"/>
  <c r="N202" i="1"/>
  <c r="H49" i="4"/>
  <c r="G49" i="4" l="1"/>
  <c r="N49" i="4"/>
  <c r="J49" i="4"/>
  <c r="J48" i="4"/>
  <c r="K48" i="4"/>
  <c r="K49" i="4"/>
  <c r="J91" i="3"/>
  <c r="G122" i="22"/>
  <c r="K211" i="1"/>
  <c r="K208" i="1"/>
  <c r="K207" i="1"/>
  <c r="K209" i="1"/>
  <c r="U62" i="22"/>
  <c r="L211" i="1"/>
  <c r="L207" i="1"/>
  <c r="L208" i="1"/>
  <c r="L209" i="1"/>
  <c r="F91" i="3"/>
  <c r="C129" i="22" s="1"/>
  <c r="C122" i="22"/>
  <c r="H45" i="25"/>
  <c r="U45" i="25" s="1"/>
  <c r="U32" i="25"/>
  <c r="I122" i="22"/>
  <c r="L91" i="3"/>
  <c r="L55" i="3"/>
  <c r="K123" i="3"/>
  <c r="J207" i="1"/>
  <c r="J211" i="1"/>
  <c r="J208" i="1"/>
  <c r="J209" i="1"/>
  <c r="N208" i="1"/>
  <c r="N211" i="1"/>
  <c r="N209" i="1"/>
  <c r="N207" i="1"/>
  <c r="I91" i="3"/>
  <c r="F122" i="22"/>
  <c r="H39" i="25"/>
  <c r="H41" i="22"/>
  <c r="U39" i="22"/>
  <c r="U41" i="22" s="1"/>
  <c r="I39" i="22"/>
  <c r="M48" i="4"/>
  <c r="H206" i="1"/>
  <c r="H204" i="1"/>
  <c r="H202" i="1"/>
  <c r="H203" i="1"/>
  <c r="M49" i="4"/>
  <c r="O221" i="1"/>
  <c r="O214" i="1"/>
  <c r="O213" i="1"/>
  <c r="O212" i="1"/>
  <c r="K196" i="3"/>
  <c r="K152" i="3"/>
  <c r="K165" i="3" s="1"/>
  <c r="K56" i="3"/>
  <c r="L54" i="3"/>
  <c r="K111" i="1"/>
  <c r="K108" i="1"/>
  <c r="K109" i="1"/>
  <c r="K110" i="1"/>
  <c r="F221" i="1"/>
  <c r="F214" i="1"/>
  <c r="F213" i="1"/>
  <c r="F212" i="1"/>
  <c r="G91" i="3"/>
  <c r="D122" i="22"/>
  <c r="N91" i="3"/>
  <c r="K122" i="22"/>
  <c r="V32" i="22"/>
  <c r="I45" i="22"/>
  <c r="V45" i="22" s="1"/>
  <c r="I32" i="25"/>
  <c r="I211" i="1"/>
  <c r="I207" i="1"/>
  <c r="I208" i="1"/>
  <c r="I209" i="1"/>
  <c r="O91" i="3"/>
  <c r="L122" i="22"/>
  <c r="K91" i="3"/>
  <c r="H122" i="22"/>
  <c r="H91" i="3"/>
  <c r="E122" i="22"/>
  <c r="U62" i="25"/>
  <c r="H47" i="4"/>
  <c r="M197" i="3"/>
  <c r="F49" i="4"/>
  <c r="G208" i="1"/>
  <c r="G211" i="1"/>
  <c r="G207" i="1"/>
  <c r="G209" i="1"/>
  <c r="M207" i="1"/>
  <c r="M211" i="1"/>
  <c r="M208" i="1"/>
  <c r="M209" i="1"/>
  <c r="M91" i="3"/>
  <c r="J122" i="22"/>
  <c r="J113" i="1"/>
  <c r="J79" i="3"/>
  <c r="J80" i="3"/>
  <c r="T39" i="25"/>
  <c r="T41" i="25" s="1"/>
  <c r="G41" i="25"/>
  <c r="I32" i="21"/>
  <c r="I71" i="4"/>
  <c r="N221" i="1" l="1"/>
  <c r="N212" i="1"/>
  <c r="N213" i="1"/>
  <c r="N214" i="1"/>
  <c r="V62" i="25"/>
  <c r="K93" i="3"/>
  <c r="K94" i="3" s="1"/>
  <c r="H129" i="22"/>
  <c r="V32" i="25"/>
  <c r="I45" i="25"/>
  <c r="V45" i="25" s="1"/>
  <c r="F237" i="1"/>
  <c r="F227" i="1"/>
  <c r="F223" i="1"/>
  <c r="H211" i="1"/>
  <c r="H207" i="1"/>
  <c r="H209" i="1"/>
  <c r="H208" i="1"/>
  <c r="J221" i="1"/>
  <c r="J214" i="1"/>
  <c r="J212" i="1"/>
  <c r="J213" i="1"/>
  <c r="L214" i="1"/>
  <c r="L221" i="1"/>
  <c r="L212" i="1"/>
  <c r="L213" i="1"/>
  <c r="J45" i="22"/>
  <c r="W45" i="22" s="1"/>
  <c r="W32" i="22"/>
  <c r="J32" i="25"/>
  <c r="J39" i="22"/>
  <c r="V39" i="22"/>
  <c r="V41" i="22" s="1"/>
  <c r="I39" i="25"/>
  <c r="I41" i="22"/>
  <c r="K79" i="3"/>
  <c r="K80" i="3"/>
  <c r="U39" i="25"/>
  <c r="U41" i="25" s="1"/>
  <c r="H41" i="25"/>
  <c r="V62" i="22"/>
  <c r="J93" i="3"/>
  <c r="J94" i="3" s="1"/>
  <c r="G129" i="22"/>
  <c r="F129" i="22"/>
  <c r="I93" i="3"/>
  <c r="I94" i="3" s="1"/>
  <c r="O93" i="3"/>
  <c r="O94" i="3" s="1"/>
  <c r="L129" i="22"/>
  <c r="M214" i="1"/>
  <c r="M221" i="1"/>
  <c r="M213" i="1"/>
  <c r="M212" i="1"/>
  <c r="I221" i="1"/>
  <c r="I214" i="1"/>
  <c r="I213" i="1"/>
  <c r="I212" i="1"/>
  <c r="D129" i="22"/>
  <c r="G93" i="3"/>
  <c r="G94" i="3" s="1"/>
  <c r="K113" i="1"/>
  <c r="M93" i="3"/>
  <c r="M94" i="3" s="1"/>
  <c r="J129" i="22"/>
  <c r="L152" i="3"/>
  <c r="L165" i="3" s="1"/>
  <c r="M54" i="3"/>
  <c r="L196" i="3"/>
  <c r="L56" i="3"/>
  <c r="L109" i="1"/>
  <c r="L111" i="1"/>
  <c r="L110" i="1"/>
  <c r="L108" i="1"/>
  <c r="L93" i="3"/>
  <c r="L94" i="3" s="1"/>
  <c r="I129" i="22"/>
  <c r="E129" i="22"/>
  <c r="H93" i="3"/>
  <c r="H94" i="3" s="1"/>
  <c r="N93" i="3"/>
  <c r="N94" i="3" s="1"/>
  <c r="K129" i="22"/>
  <c r="O227" i="1"/>
  <c r="O237" i="1"/>
  <c r="O223" i="1"/>
  <c r="J32" i="21"/>
  <c r="J71" i="4"/>
  <c r="I83" i="4"/>
  <c r="G214" i="1"/>
  <c r="G221" i="1"/>
  <c r="G212" i="1"/>
  <c r="G213" i="1"/>
  <c r="N197" i="3"/>
  <c r="L123" i="3"/>
  <c r="M55" i="3"/>
  <c r="F93" i="3"/>
  <c r="F94" i="3" s="1"/>
  <c r="K221" i="1"/>
  <c r="K213" i="1"/>
  <c r="K214" i="1"/>
  <c r="K212" i="1"/>
  <c r="L79" i="3" l="1"/>
  <c r="L80" i="3"/>
  <c r="O232" i="1"/>
  <c r="O228" i="1"/>
  <c r="O229" i="1"/>
  <c r="O230" i="1"/>
  <c r="J83" i="4"/>
  <c r="J237" i="1"/>
  <c r="J227" i="1"/>
  <c r="J223" i="1"/>
  <c r="W32" i="25"/>
  <c r="J45" i="25"/>
  <c r="W45" i="25" s="1"/>
  <c r="G227" i="1"/>
  <c r="G237" i="1"/>
  <c r="G223" i="1"/>
  <c r="O240" i="1"/>
  <c r="O242" i="1"/>
  <c r="O238" i="1"/>
  <c r="O239" i="1"/>
  <c r="M56" i="3"/>
  <c r="N54" i="3"/>
  <c r="M196" i="3"/>
  <c r="M152" i="3"/>
  <c r="M165" i="3" s="1"/>
  <c r="M108" i="1"/>
  <c r="M110" i="1"/>
  <c r="M111" i="1"/>
  <c r="M109" i="1"/>
  <c r="F232" i="1"/>
  <c r="F228" i="1"/>
  <c r="F229" i="1"/>
  <c r="F230" i="1"/>
  <c r="W62" i="22"/>
  <c r="V39" i="25"/>
  <c r="V41" i="25" s="1"/>
  <c r="I41" i="25"/>
  <c r="K45" i="22"/>
  <c r="X45" i="22" s="1"/>
  <c r="X32" i="22"/>
  <c r="K32" i="25"/>
  <c r="L227" i="1"/>
  <c r="L237" i="1"/>
  <c r="L223" i="1"/>
  <c r="N227" i="1"/>
  <c r="N237" i="1"/>
  <c r="N223" i="1"/>
  <c r="L113" i="1"/>
  <c r="K32" i="21"/>
  <c r="K71" i="4"/>
  <c r="M237" i="1"/>
  <c r="M227" i="1"/>
  <c r="M223" i="1"/>
  <c r="H221" i="1"/>
  <c r="H214" i="1"/>
  <c r="H213" i="1"/>
  <c r="H212" i="1"/>
  <c r="M123" i="3"/>
  <c r="N55" i="3"/>
  <c r="F238" i="1"/>
  <c r="F242" i="1"/>
  <c r="F240" i="1"/>
  <c r="F239" i="1"/>
  <c r="I227" i="1"/>
  <c r="I237" i="1"/>
  <c r="I223" i="1"/>
  <c r="K227" i="1"/>
  <c r="K237" i="1"/>
  <c r="K223" i="1"/>
  <c r="O197" i="3"/>
  <c r="W39" i="22"/>
  <c r="W41" i="22" s="1"/>
  <c r="K39" i="22"/>
  <c r="J41" i="22"/>
  <c r="J39" i="25"/>
  <c r="W62" i="25"/>
  <c r="M113" i="1" l="1"/>
  <c r="I232" i="1"/>
  <c r="I228" i="1"/>
  <c r="I229" i="1"/>
  <c r="I230" i="1"/>
  <c r="J228" i="1"/>
  <c r="J232" i="1"/>
  <c r="J230" i="1"/>
  <c r="J229" i="1"/>
  <c r="W39" i="25"/>
  <c r="W41" i="25" s="1"/>
  <c r="J41" i="25"/>
  <c r="H227" i="1"/>
  <c r="H237" i="1"/>
  <c r="H223" i="1"/>
  <c r="L32" i="21"/>
  <c r="L71" i="4"/>
  <c r="J242" i="1"/>
  <c r="J238" i="1"/>
  <c r="J240" i="1"/>
  <c r="J239" i="1"/>
  <c r="K238" i="1"/>
  <c r="K240" i="1"/>
  <c r="K242" i="1"/>
  <c r="K239" i="1"/>
  <c r="M232" i="1"/>
  <c r="M228" i="1"/>
  <c r="M229" i="1"/>
  <c r="M230" i="1"/>
  <c r="X62" i="22"/>
  <c r="M79" i="3"/>
  <c r="M80" i="3"/>
  <c r="F246" i="1"/>
  <c r="F245" i="1"/>
  <c r="F244" i="1"/>
  <c r="L238" i="1"/>
  <c r="L242" i="1"/>
  <c r="L240" i="1"/>
  <c r="L239" i="1"/>
  <c r="X39" i="22"/>
  <c r="X41" i="22" s="1"/>
  <c r="K39" i="25"/>
  <c r="L39" i="22"/>
  <c r="K41" i="22"/>
  <c r="K232" i="1"/>
  <c r="K228" i="1"/>
  <c r="K229" i="1"/>
  <c r="K230" i="1"/>
  <c r="N123" i="3"/>
  <c r="O55" i="3"/>
  <c r="M238" i="1"/>
  <c r="M242" i="1"/>
  <c r="M239" i="1"/>
  <c r="M240" i="1"/>
  <c r="N242" i="1"/>
  <c r="N240" i="1"/>
  <c r="N238" i="1"/>
  <c r="N239" i="1"/>
  <c r="L232" i="1"/>
  <c r="L230" i="1"/>
  <c r="L228" i="1"/>
  <c r="L229" i="1"/>
  <c r="G232" i="1"/>
  <c r="G228" i="1"/>
  <c r="G230" i="1"/>
  <c r="G229" i="1"/>
  <c r="F234" i="1"/>
  <c r="F235" i="1"/>
  <c r="F233" i="1"/>
  <c r="I238" i="1"/>
  <c r="I239" i="1"/>
  <c r="I242" i="1"/>
  <c r="I240" i="1"/>
  <c r="O244" i="1"/>
  <c r="O245" i="1"/>
  <c r="O246" i="1"/>
  <c r="G238" i="1"/>
  <c r="G242" i="1"/>
  <c r="G240" i="1"/>
  <c r="G239" i="1"/>
  <c r="K83" i="4"/>
  <c r="N232" i="1"/>
  <c r="N228" i="1"/>
  <c r="N230" i="1"/>
  <c r="N229" i="1"/>
  <c r="L45" i="22"/>
  <c r="Y45" i="22" s="1"/>
  <c r="Y32" i="22"/>
  <c r="L32" i="25"/>
  <c r="M32" i="21"/>
  <c r="M71" i="4"/>
  <c r="O234" i="1"/>
  <c r="O235" i="1"/>
  <c r="O233" i="1"/>
  <c r="X62" i="25"/>
  <c r="X32" i="25"/>
  <c r="K45" i="25"/>
  <c r="X45" i="25" s="1"/>
  <c r="N196" i="3"/>
  <c r="N56" i="3"/>
  <c r="N152" i="3"/>
  <c r="N165" i="3" s="1"/>
  <c r="O54" i="3"/>
  <c r="N109" i="1"/>
  <c r="N108" i="1"/>
  <c r="N111" i="1"/>
  <c r="N110" i="1"/>
  <c r="F46" i="4" l="1"/>
  <c r="M83" i="4"/>
  <c r="J245" i="1"/>
  <c r="J244" i="1"/>
  <c r="J246" i="1"/>
  <c r="O46" i="4"/>
  <c r="L246" i="1"/>
  <c r="L245" i="1"/>
  <c r="L244" i="1"/>
  <c r="O196" i="3"/>
  <c r="O56" i="3"/>
  <c r="O110" i="1"/>
  <c r="O108" i="1"/>
  <c r="O109" i="1"/>
  <c r="O152" i="3"/>
  <c r="O165" i="3" s="1"/>
  <c r="O111" i="1"/>
  <c r="G244" i="1"/>
  <c r="G245" i="1"/>
  <c r="G246" i="1"/>
  <c r="Y32" i="25"/>
  <c r="L45" i="25"/>
  <c r="Y45" i="25" s="1"/>
  <c r="O123" i="3"/>
  <c r="X39" i="25"/>
  <c r="X41" i="25" s="1"/>
  <c r="K41" i="25"/>
  <c r="N113" i="1"/>
  <c r="K234" i="1"/>
  <c r="K235" i="1"/>
  <c r="K233" i="1"/>
  <c r="H232" i="1"/>
  <c r="H228" i="1"/>
  <c r="H230" i="1"/>
  <c r="H229" i="1"/>
  <c r="I234" i="1"/>
  <c r="I235" i="1"/>
  <c r="I233" i="1"/>
  <c r="L39" i="25"/>
  <c r="Y39" i="22"/>
  <c r="Y41" i="22" s="1"/>
  <c r="L41" i="22"/>
  <c r="I245" i="1"/>
  <c r="I244" i="1"/>
  <c r="I246" i="1"/>
  <c r="N79" i="3"/>
  <c r="N80" i="3"/>
  <c r="O45" i="4"/>
  <c r="M244" i="1"/>
  <c r="M46" i="4" s="1"/>
  <c r="M245" i="1"/>
  <c r="M246" i="1"/>
  <c r="Y62" i="22"/>
  <c r="L83" i="4"/>
  <c r="Y62" i="25"/>
  <c r="N235" i="1"/>
  <c r="N234" i="1"/>
  <c r="N233" i="1"/>
  <c r="H240" i="1"/>
  <c r="H238" i="1"/>
  <c r="H242" i="1"/>
  <c r="H239" i="1"/>
  <c r="K245" i="1"/>
  <c r="K246" i="1"/>
  <c r="K244" i="1"/>
  <c r="G235" i="1"/>
  <c r="G234" i="1"/>
  <c r="G233" i="1"/>
  <c r="F45" i="4"/>
  <c r="L234" i="1"/>
  <c r="L233" i="1"/>
  <c r="L235" i="1"/>
  <c r="J235" i="1"/>
  <c r="J234" i="1"/>
  <c r="J233" i="1"/>
  <c r="J45" i="4" s="1"/>
  <c r="M235" i="1"/>
  <c r="M234" i="1"/>
  <c r="M233" i="1"/>
  <c r="N244" i="1"/>
  <c r="N246" i="1"/>
  <c r="N245" i="1"/>
  <c r="N46" i="4" l="1"/>
  <c r="L45" i="4"/>
  <c r="O113" i="1"/>
  <c r="O32" i="21" s="1"/>
  <c r="M45" i="4"/>
  <c r="L41" i="25"/>
  <c r="Y39" i="25"/>
  <c r="Y41" i="25" s="1"/>
  <c r="J46" i="4"/>
  <c r="N32" i="21"/>
  <c r="N71" i="4"/>
  <c r="H244" i="1"/>
  <c r="H246" i="1"/>
  <c r="H245" i="1"/>
  <c r="N45" i="4"/>
  <c r="G46" i="4"/>
  <c r="K46" i="4"/>
  <c r="G45" i="4"/>
  <c r="I45" i="4"/>
  <c r="I46" i="4"/>
  <c r="H234" i="1"/>
  <c r="H235" i="1"/>
  <c r="H233" i="1"/>
  <c r="K45" i="4"/>
  <c r="O79" i="3"/>
  <c r="O80" i="3"/>
  <c r="L46" i="4"/>
  <c r="O71" i="4" l="1"/>
  <c r="H45" i="4"/>
  <c r="N83" i="4"/>
  <c r="O83" i="4"/>
  <c r="H46" i="4"/>
  <c r="F33" i="21"/>
  <c r="G33" i="21"/>
  <c r="H33" i="21"/>
  <c r="K33" i="21" l="1"/>
  <c r="L33" i="21" l="1"/>
  <c r="F156" i="3" l="1"/>
  <c r="G156" i="3"/>
  <c r="H156" i="3"/>
  <c r="I156" i="3"/>
  <c r="J156" i="3"/>
  <c r="K156" i="3"/>
  <c r="L156" i="3"/>
  <c r="M156" i="3"/>
  <c r="N156" i="3"/>
  <c r="O156" i="3"/>
  <c r="I33" i="21"/>
  <c r="N33" i="21"/>
  <c r="O33" i="21"/>
  <c r="M33" i="21" l="1"/>
  <c r="J33" i="21"/>
  <c r="C88" i="25"/>
  <c r="C88" i="22" s="1"/>
  <c r="D88" i="25"/>
  <c r="D88" i="22" s="1"/>
  <c r="E88" i="25"/>
  <c r="E88" i="22" s="1"/>
  <c r="F88" i="25"/>
  <c r="F88" i="22" s="1"/>
  <c r="G88" i="25"/>
  <c r="G88" i="22" s="1"/>
  <c r="H88" i="25"/>
  <c r="H88" i="22" s="1"/>
  <c r="I88" i="25"/>
  <c r="I88" i="22" s="1"/>
  <c r="K88" i="25" l="1"/>
  <c r="K88" i="22" s="1"/>
  <c r="L88" i="25"/>
  <c r="L88" i="22" s="1"/>
  <c r="J88" i="25"/>
  <c r="J88" i="22" s="1"/>
  <c r="F6" i="3"/>
  <c r="G6" i="3"/>
  <c r="H6" i="3"/>
  <c r="I6" i="3"/>
  <c r="J6" i="3"/>
  <c r="K6" i="3"/>
  <c r="L6" i="3"/>
  <c r="M6" i="3"/>
  <c r="N6" i="3"/>
  <c r="O6" i="3"/>
  <c r="F7" i="3"/>
  <c r="G7" i="3"/>
  <c r="H7" i="3"/>
  <c r="I7" i="3"/>
  <c r="J7" i="3"/>
  <c r="K7" i="3"/>
  <c r="L7" i="3"/>
  <c r="M7" i="3"/>
  <c r="N7" i="3"/>
  <c r="O7" i="3"/>
  <c r="F8" i="3"/>
  <c r="G8" i="3"/>
  <c r="H8" i="3"/>
  <c r="I8" i="3"/>
  <c r="J8" i="3"/>
  <c r="K8" i="3"/>
  <c r="L8" i="3"/>
  <c r="M8" i="3"/>
  <c r="N8" i="3"/>
  <c r="O8" i="3"/>
  <c r="F10" i="3"/>
  <c r="G10" i="3"/>
  <c r="H10" i="3"/>
  <c r="I10" i="3"/>
  <c r="J10" i="3"/>
  <c r="K10" i="3"/>
  <c r="L10" i="3"/>
  <c r="M10" i="3"/>
  <c r="N10" i="3"/>
  <c r="O10" i="3"/>
  <c r="F11" i="3"/>
  <c r="G11" i="3"/>
  <c r="H11" i="3"/>
  <c r="I11" i="3"/>
  <c r="J11" i="3"/>
  <c r="K11" i="3"/>
  <c r="L11" i="3"/>
  <c r="M11" i="3"/>
  <c r="N11" i="3"/>
  <c r="O11" i="3"/>
  <c r="F12" i="3"/>
  <c r="G12" i="3"/>
  <c r="H12" i="3"/>
  <c r="I12" i="3"/>
  <c r="J12" i="3"/>
  <c r="K12" i="3"/>
  <c r="L12" i="3"/>
  <c r="M12" i="3"/>
  <c r="N12" i="3"/>
  <c r="O12" i="3"/>
  <c r="F13" i="3"/>
  <c r="G13" i="3"/>
  <c r="H13" i="3"/>
  <c r="I13" i="3"/>
  <c r="J13" i="3"/>
  <c r="K13" i="3"/>
  <c r="L13" i="3"/>
  <c r="M13" i="3"/>
  <c r="N13" i="3"/>
  <c r="O13" i="3"/>
  <c r="F15" i="3"/>
  <c r="G15" i="3"/>
  <c r="H15" i="3"/>
  <c r="I15" i="3"/>
  <c r="J15" i="3"/>
  <c r="K15" i="3"/>
  <c r="L15" i="3"/>
  <c r="M15" i="3"/>
  <c r="N15" i="3"/>
  <c r="O15" i="3"/>
  <c r="F16" i="3"/>
  <c r="G16" i="3"/>
  <c r="H16" i="3"/>
  <c r="I16" i="3"/>
  <c r="J16" i="3"/>
  <c r="K16" i="3"/>
  <c r="L16" i="3"/>
  <c r="M16" i="3"/>
  <c r="N16" i="3"/>
  <c r="O16" i="3"/>
  <c r="F17" i="3"/>
  <c r="G17" i="3"/>
  <c r="H17" i="3"/>
  <c r="I17" i="3"/>
  <c r="J17" i="3"/>
  <c r="K17" i="3"/>
  <c r="L17" i="3"/>
  <c r="M17" i="3"/>
  <c r="N17" i="3"/>
  <c r="O17" i="3"/>
  <c r="F18" i="3"/>
  <c r="G18" i="3"/>
  <c r="H18" i="3"/>
  <c r="I18" i="3"/>
  <c r="J18" i="3"/>
  <c r="K18" i="3"/>
  <c r="L18" i="3"/>
  <c r="M18" i="3"/>
  <c r="N18" i="3"/>
  <c r="O18" i="3"/>
  <c r="F19" i="3"/>
  <c r="G19" i="3"/>
  <c r="H19" i="3"/>
  <c r="I19" i="3"/>
  <c r="J19" i="3"/>
  <c r="K19" i="3"/>
  <c r="L19" i="3"/>
  <c r="M19" i="3"/>
  <c r="N19" i="3"/>
  <c r="O19" i="3"/>
  <c r="F21" i="3"/>
  <c r="G21" i="3"/>
  <c r="H21" i="3"/>
  <c r="I21" i="3"/>
  <c r="J21" i="3"/>
  <c r="K21" i="3"/>
  <c r="L21" i="3"/>
  <c r="M21" i="3"/>
  <c r="N21" i="3"/>
  <c r="O21" i="3"/>
  <c r="F22" i="3"/>
  <c r="G22" i="3"/>
  <c r="H22" i="3"/>
  <c r="I22" i="3"/>
  <c r="J22" i="3"/>
  <c r="K22" i="3"/>
  <c r="L22" i="3"/>
  <c r="M22" i="3"/>
  <c r="N22" i="3"/>
  <c r="O22" i="3"/>
  <c r="F23" i="3"/>
  <c r="G23" i="3"/>
  <c r="H23" i="3"/>
  <c r="I23" i="3"/>
  <c r="J23" i="3"/>
  <c r="K23" i="3"/>
  <c r="L23" i="3"/>
  <c r="M23" i="3"/>
  <c r="N23" i="3"/>
  <c r="O23" i="3"/>
  <c r="F24" i="3"/>
  <c r="G24" i="3"/>
  <c r="H24" i="3"/>
  <c r="I24" i="3"/>
  <c r="J24" i="3"/>
  <c r="K24" i="3"/>
  <c r="L24" i="3"/>
  <c r="M24" i="3"/>
  <c r="N24" i="3"/>
  <c r="O24" i="3"/>
  <c r="F25" i="3"/>
  <c r="G25" i="3"/>
  <c r="H25" i="3"/>
  <c r="I25" i="3"/>
  <c r="J25" i="3"/>
  <c r="K25" i="3"/>
  <c r="L25" i="3"/>
  <c r="M25" i="3"/>
  <c r="N25" i="3"/>
  <c r="O25" i="3"/>
  <c r="F26" i="3"/>
  <c r="G26" i="3"/>
  <c r="H26" i="3"/>
  <c r="I26" i="3"/>
  <c r="J26" i="3"/>
  <c r="K26" i="3"/>
  <c r="L26" i="3"/>
  <c r="M26" i="3"/>
  <c r="N26" i="3"/>
  <c r="O26" i="3"/>
  <c r="F30" i="3"/>
  <c r="G30" i="3"/>
  <c r="H30" i="3"/>
  <c r="I30" i="3"/>
  <c r="J30" i="3"/>
  <c r="K30" i="3"/>
  <c r="L30" i="3"/>
  <c r="M30" i="3"/>
  <c r="N30" i="3"/>
  <c r="O30" i="3"/>
  <c r="F31" i="3"/>
  <c r="G31" i="3"/>
  <c r="H31" i="3"/>
  <c r="I31" i="3"/>
  <c r="J31" i="3"/>
  <c r="K31" i="3"/>
  <c r="L31" i="3"/>
  <c r="M31" i="3"/>
  <c r="N31" i="3"/>
  <c r="O31" i="3"/>
  <c r="F33" i="3"/>
  <c r="G33" i="3"/>
  <c r="H33" i="3"/>
  <c r="I33" i="3"/>
  <c r="J33" i="3"/>
  <c r="K33" i="3"/>
  <c r="L33" i="3"/>
  <c r="M33" i="3"/>
  <c r="N33" i="3"/>
  <c r="O33" i="3"/>
  <c r="F52" i="3"/>
  <c r="G52" i="3"/>
  <c r="H52" i="3"/>
  <c r="I52" i="3"/>
  <c r="J52" i="3"/>
  <c r="K52" i="3"/>
  <c r="L52" i="3"/>
  <c r="M52" i="3"/>
  <c r="N52" i="3"/>
  <c r="O52" i="3"/>
  <c r="F70" i="3"/>
  <c r="G70" i="3"/>
  <c r="H70" i="3"/>
  <c r="I70" i="3"/>
  <c r="J70" i="3"/>
  <c r="K70" i="3"/>
  <c r="L70" i="3"/>
  <c r="M70" i="3"/>
  <c r="N70" i="3"/>
  <c r="O70" i="3"/>
  <c r="I75" i="3"/>
  <c r="J75" i="3"/>
  <c r="K75" i="3"/>
  <c r="L75" i="3"/>
  <c r="M75" i="3"/>
  <c r="N75" i="3"/>
  <c r="O75" i="3"/>
  <c r="F76" i="3"/>
  <c r="G76" i="3"/>
  <c r="H76" i="3"/>
  <c r="I76" i="3"/>
  <c r="J76" i="3"/>
  <c r="K76" i="3"/>
  <c r="L76" i="3"/>
  <c r="M76" i="3"/>
  <c r="N76" i="3"/>
  <c r="O76" i="3"/>
  <c r="F77" i="3"/>
  <c r="G77" i="3"/>
  <c r="H77" i="3"/>
  <c r="I77" i="3"/>
  <c r="J77" i="3"/>
  <c r="K77" i="3"/>
  <c r="L77" i="3"/>
  <c r="M77" i="3"/>
  <c r="N77" i="3"/>
  <c r="O77" i="3"/>
  <c r="F81" i="3"/>
  <c r="G81" i="3"/>
  <c r="H81" i="3"/>
  <c r="I81" i="3"/>
  <c r="J81" i="3"/>
  <c r="K81" i="3"/>
  <c r="L81" i="3"/>
  <c r="M81" i="3"/>
  <c r="N81" i="3"/>
  <c r="O81" i="3"/>
  <c r="F82" i="3"/>
  <c r="G82" i="3"/>
  <c r="H82" i="3"/>
  <c r="I82" i="3"/>
  <c r="J82" i="3"/>
  <c r="K82" i="3"/>
  <c r="L82" i="3"/>
  <c r="M82" i="3"/>
  <c r="N82" i="3"/>
  <c r="O82" i="3"/>
  <c r="F83" i="3"/>
  <c r="G83" i="3"/>
  <c r="H83" i="3"/>
  <c r="I83" i="3"/>
  <c r="J83" i="3"/>
  <c r="K83" i="3"/>
  <c r="L83" i="3"/>
  <c r="M83" i="3"/>
  <c r="N83" i="3"/>
  <c r="O83" i="3"/>
  <c r="F84" i="3"/>
  <c r="G84" i="3"/>
  <c r="H84" i="3"/>
  <c r="I84" i="3"/>
  <c r="J84" i="3"/>
  <c r="K84" i="3"/>
  <c r="L84" i="3"/>
  <c r="M84" i="3"/>
  <c r="N84" i="3"/>
  <c r="O84" i="3"/>
  <c r="F85" i="3"/>
  <c r="G85" i="3"/>
  <c r="H85" i="3"/>
  <c r="I85" i="3"/>
  <c r="J85" i="3"/>
  <c r="K85" i="3"/>
  <c r="L85" i="3"/>
  <c r="M85" i="3"/>
  <c r="N85" i="3"/>
  <c r="O85" i="3"/>
  <c r="F86" i="3"/>
  <c r="G86" i="3"/>
  <c r="H86" i="3"/>
  <c r="I86" i="3"/>
  <c r="J86" i="3"/>
  <c r="K86" i="3"/>
  <c r="L86" i="3"/>
  <c r="M86" i="3"/>
  <c r="N86" i="3"/>
  <c r="O86" i="3"/>
  <c r="F87" i="3"/>
  <c r="G87" i="3"/>
  <c r="H87" i="3"/>
  <c r="I87" i="3"/>
  <c r="J87" i="3"/>
  <c r="K87" i="3"/>
  <c r="L87" i="3"/>
  <c r="M87" i="3"/>
  <c r="N87" i="3"/>
  <c r="O87" i="3"/>
  <c r="F88" i="3"/>
  <c r="G88" i="3"/>
  <c r="H88" i="3"/>
  <c r="I88" i="3"/>
  <c r="J88" i="3"/>
  <c r="K88" i="3"/>
  <c r="L88" i="3"/>
  <c r="M88" i="3"/>
  <c r="N88" i="3"/>
  <c r="O88" i="3"/>
  <c r="F89" i="3"/>
  <c r="G89" i="3"/>
  <c r="H89" i="3"/>
  <c r="I89" i="3"/>
  <c r="J89" i="3"/>
  <c r="K89" i="3"/>
  <c r="L89" i="3"/>
  <c r="M89" i="3"/>
  <c r="N89" i="3"/>
  <c r="O89" i="3"/>
  <c r="F95" i="3"/>
  <c r="G95" i="3"/>
  <c r="H95" i="3"/>
  <c r="I95" i="3"/>
  <c r="J95" i="3"/>
  <c r="K95" i="3"/>
  <c r="L95" i="3"/>
  <c r="M95" i="3"/>
  <c r="N95" i="3"/>
  <c r="O95" i="3"/>
  <c r="F96" i="3"/>
  <c r="G96" i="3"/>
  <c r="H96" i="3"/>
  <c r="I96" i="3"/>
  <c r="J96" i="3"/>
  <c r="K96" i="3"/>
  <c r="L96" i="3"/>
  <c r="M96" i="3"/>
  <c r="N96" i="3"/>
  <c r="O96" i="3"/>
  <c r="F97" i="3"/>
  <c r="G97" i="3"/>
  <c r="H97" i="3"/>
  <c r="I97" i="3"/>
  <c r="J97" i="3"/>
  <c r="K97" i="3"/>
  <c r="L97" i="3"/>
  <c r="M97" i="3"/>
  <c r="N97" i="3"/>
  <c r="O97" i="3"/>
  <c r="F98" i="3"/>
  <c r="G98" i="3"/>
  <c r="H98" i="3"/>
  <c r="I98" i="3"/>
  <c r="J98" i="3"/>
  <c r="K98" i="3"/>
  <c r="L98" i="3"/>
  <c r="M98" i="3"/>
  <c r="N98" i="3"/>
  <c r="O98" i="3"/>
  <c r="F100" i="3"/>
  <c r="G100" i="3"/>
  <c r="H100" i="3"/>
  <c r="I100" i="3"/>
  <c r="J100" i="3"/>
  <c r="K100" i="3"/>
  <c r="L100" i="3"/>
  <c r="M100" i="3"/>
  <c r="N100" i="3"/>
  <c r="O100" i="3"/>
  <c r="F101" i="3"/>
  <c r="G101" i="3"/>
  <c r="H101" i="3"/>
  <c r="I101" i="3"/>
  <c r="J101" i="3"/>
  <c r="K101" i="3"/>
  <c r="L101" i="3"/>
  <c r="M101" i="3"/>
  <c r="N101" i="3"/>
  <c r="O101" i="3"/>
  <c r="F102" i="3"/>
  <c r="G102" i="3"/>
  <c r="H102" i="3"/>
  <c r="I102" i="3"/>
  <c r="J102" i="3"/>
  <c r="K102" i="3"/>
  <c r="L102" i="3"/>
  <c r="M102" i="3"/>
  <c r="N102" i="3"/>
  <c r="O102" i="3"/>
  <c r="F104" i="3"/>
  <c r="G104" i="3"/>
  <c r="H104" i="3"/>
  <c r="I104" i="3"/>
  <c r="J104" i="3"/>
  <c r="K104" i="3"/>
  <c r="L104" i="3"/>
  <c r="M104" i="3"/>
  <c r="N104" i="3"/>
  <c r="O104" i="3"/>
  <c r="F105" i="3"/>
  <c r="G105" i="3"/>
  <c r="H105" i="3"/>
  <c r="I105" i="3"/>
  <c r="J105" i="3"/>
  <c r="K105" i="3"/>
  <c r="L105" i="3"/>
  <c r="M105" i="3"/>
  <c r="N105" i="3"/>
  <c r="O105" i="3"/>
  <c r="F106" i="3"/>
  <c r="G106" i="3"/>
  <c r="H106" i="3"/>
  <c r="I106" i="3"/>
  <c r="J106" i="3"/>
  <c r="K106" i="3"/>
  <c r="L106" i="3"/>
  <c r="M106" i="3"/>
  <c r="N106" i="3"/>
  <c r="O106" i="3"/>
  <c r="F108" i="3"/>
  <c r="G108" i="3"/>
  <c r="H108" i="3"/>
  <c r="I108" i="3"/>
  <c r="J108" i="3"/>
  <c r="K108" i="3"/>
  <c r="L108" i="3"/>
  <c r="M108" i="3"/>
  <c r="N108" i="3"/>
  <c r="O108" i="3"/>
  <c r="F110" i="3"/>
  <c r="G110" i="3"/>
  <c r="H110" i="3"/>
  <c r="I110" i="3"/>
  <c r="J110" i="3"/>
  <c r="K110" i="3"/>
  <c r="L110" i="3"/>
  <c r="M110" i="3"/>
  <c r="N110" i="3"/>
  <c r="O110" i="3"/>
  <c r="F111" i="3"/>
  <c r="G111" i="3"/>
  <c r="H111" i="3"/>
  <c r="I111" i="3"/>
  <c r="J111" i="3"/>
  <c r="K111" i="3"/>
  <c r="L111" i="3"/>
  <c r="M111" i="3"/>
  <c r="N111" i="3"/>
  <c r="O111" i="3"/>
  <c r="F112" i="3"/>
  <c r="G112" i="3"/>
  <c r="H112" i="3"/>
  <c r="I112" i="3"/>
  <c r="J112" i="3"/>
  <c r="K112" i="3"/>
  <c r="L112" i="3"/>
  <c r="M112" i="3"/>
  <c r="N112" i="3"/>
  <c r="O112" i="3"/>
  <c r="F113" i="3"/>
  <c r="G113" i="3"/>
  <c r="H113" i="3"/>
  <c r="I113" i="3"/>
  <c r="J113" i="3"/>
  <c r="K113" i="3"/>
  <c r="L113" i="3"/>
  <c r="M113" i="3"/>
  <c r="N113" i="3"/>
  <c r="O113" i="3"/>
  <c r="F115" i="3"/>
  <c r="G115" i="3"/>
  <c r="H115" i="3"/>
  <c r="I115" i="3"/>
  <c r="J115" i="3"/>
  <c r="K115" i="3"/>
  <c r="L115" i="3"/>
  <c r="M115" i="3"/>
  <c r="N115" i="3"/>
  <c r="O115" i="3"/>
  <c r="F116" i="3"/>
  <c r="G116" i="3"/>
  <c r="H116" i="3"/>
  <c r="I116" i="3"/>
  <c r="J116" i="3"/>
  <c r="K116" i="3"/>
  <c r="L116" i="3"/>
  <c r="M116" i="3"/>
  <c r="N116" i="3"/>
  <c r="O116" i="3"/>
  <c r="F120" i="3"/>
  <c r="G120" i="3"/>
  <c r="H120" i="3"/>
  <c r="I120" i="3"/>
  <c r="J120" i="3"/>
  <c r="K120" i="3"/>
  <c r="L120" i="3"/>
  <c r="M120" i="3"/>
  <c r="N120" i="3"/>
  <c r="O120" i="3"/>
  <c r="F121" i="3"/>
  <c r="G121" i="3"/>
  <c r="H121" i="3"/>
  <c r="I121" i="3"/>
  <c r="J121" i="3"/>
  <c r="K121" i="3"/>
  <c r="L121" i="3"/>
  <c r="M121" i="3"/>
  <c r="N121" i="3"/>
  <c r="O121" i="3"/>
  <c r="F122" i="3"/>
  <c r="G122" i="3"/>
  <c r="H122" i="3"/>
  <c r="I122" i="3"/>
  <c r="J122" i="3"/>
  <c r="K122" i="3"/>
  <c r="L122" i="3"/>
  <c r="M122" i="3"/>
  <c r="N122" i="3"/>
  <c r="O122" i="3"/>
  <c r="F125" i="3"/>
  <c r="G125" i="3"/>
  <c r="H125" i="3"/>
  <c r="I125" i="3"/>
  <c r="J125" i="3"/>
  <c r="K125" i="3"/>
  <c r="L125" i="3"/>
  <c r="M125" i="3"/>
  <c r="N125" i="3"/>
  <c r="O125" i="3"/>
  <c r="F127" i="3"/>
  <c r="G127" i="3"/>
  <c r="H127" i="3"/>
  <c r="I127" i="3"/>
  <c r="J127" i="3"/>
  <c r="K127" i="3"/>
  <c r="L127" i="3"/>
  <c r="M127" i="3"/>
  <c r="N127" i="3"/>
  <c r="O127" i="3"/>
  <c r="F128" i="3"/>
  <c r="G128" i="3"/>
  <c r="H128" i="3"/>
  <c r="I128" i="3"/>
  <c r="J128" i="3"/>
  <c r="K128" i="3"/>
  <c r="L128" i="3"/>
  <c r="M128" i="3"/>
  <c r="N128" i="3"/>
  <c r="O128" i="3"/>
  <c r="F129" i="3"/>
  <c r="G129" i="3"/>
  <c r="H129" i="3"/>
  <c r="I129" i="3"/>
  <c r="J129" i="3"/>
  <c r="K129" i="3"/>
  <c r="L129" i="3"/>
  <c r="M129" i="3"/>
  <c r="N129" i="3"/>
  <c r="O129" i="3"/>
  <c r="F130" i="3"/>
  <c r="G130" i="3"/>
  <c r="H130" i="3"/>
  <c r="I130" i="3"/>
  <c r="J130" i="3"/>
  <c r="K130" i="3"/>
  <c r="L130" i="3"/>
  <c r="M130" i="3"/>
  <c r="N130" i="3"/>
  <c r="O130" i="3"/>
  <c r="F131" i="3"/>
  <c r="G131" i="3"/>
  <c r="H131" i="3"/>
  <c r="I131" i="3"/>
  <c r="J131" i="3"/>
  <c r="K131" i="3"/>
  <c r="L131" i="3"/>
  <c r="M131" i="3"/>
  <c r="N131" i="3"/>
  <c r="O131" i="3"/>
  <c r="F132" i="3"/>
  <c r="G132" i="3"/>
  <c r="H132" i="3"/>
  <c r="I132" i="3"/>
  <c r="J132" i="3"/>
  <c r="K132" i="3"/>
  <c r="L132" i="3"/>
  <c r="M132" i="3"/>
  <c r="N132" i="3"/>
  <c r="O132" i="3"/>
  <c r="F133" i="3"/>
  <c r="G133" i="3"/>
  <c r="H133" i="3"/>
  <c r="I133" i="3"/>
  <c r="J133" i="3"/>
  <c r="K133" i="3"/>
  <c r="L133" i="3"/>
  <c r="M133" i="3"/>
  <c r="N133" i="3"/>
  <c r="O133" i="3"/>
  <c r="F135" i="3"/>
  <c r="G135" i="3"/>
  <c r="H135" i="3"/>
  <c r="I135" i="3"/>
  <c r="J135" i="3"/>
  <c r="K135" i="3"/>
  <c r="L135" i="3"/>
  <c r="M135" i="3"/>
  <c r="N135" i="3"/>
  <c r="O135" i="3"/>
  <c r="F136" i="3"/>
  <c r="G136" i="3"/>
  <c r="H136" i="3"/>
  <c r="I136" i="3"/>
  <c r="J136" i="3"/>
  <c r="K136" i="3"/>
  <c r="L136" i="3"/>
  <c r="M136" i="3"/>
  <c r="N136" i="3"/>
  <c r="O136" i="3"/>
  <c r="F137" i="3"/>
  <c r="G137" i="3"/>
  <c r="H137" i="3"/>
  <c r="I137" i="3"/>
  <c r="J137" i="3"/>
  <c r="K137" i="3"/>
  <c r="L137" i="3"/>
  <c r="M137" i="3"/>
  <c r="N137" i="3"/>
  <c r="O137" i="3"/>
  <c r="F140" i="3"/>
  <c r="G140" i="3"/>
  <c r="H140" i="3"/>
  <c r="I140" i="3"/>
  <c r="J140" i="3"/>
  <c r="K140" i="3"/>
  <c r="L140" i="3"/>
  <c r="M140" i="3"/>
  <c r="N140" i="3"/>
  <c r="O140" i="3"/>
  <c r="F141" i="3"/>
  <c r="G141" i="3"/>
  <c r="H141" i="3"/>
  <c r="I141" i="3"/>
  <c r="J141" i="3"/>
  <c r="K141" i="3"/>
  <c r="L141" i="3"/>
  <c r="M141" i="3"/>
  <c r="N141" i="3"/>
  <c r="O141" i="3"/>
  <c r="F142" i="3"/>
  <c r="G142" i="3"/>
  <c r="H142" i="3"/>
  <c r="I142" i="3"/>
  <c r="J142" i="3"/>
  <c r="K142" i="3"/>
  <c r="L142" i="3"/>
  <c r="M142" i="3"/>
  <c r="N142" i="3"/>
  <c r="O142" i="3"/>
  <c r="F143" i="3"/>
  <c r="G143" i="3"/>
  <c r="H143" i="3"/>
  <c r="I143" i="3"/>
  <c r="J143" i="3"/>
  <c r="K143" i="3"/>
  <c r="L143" i="3"/>
  <c r="M143" i="3"/>
  <c r="N143" i="3"/>
  <c r="O143" i="3"/>
  <c r="F146" i="3"/>
  <c r="G146" i="3"/>
  <c r="H146" i="3"/>
  <c r="I146" i="3"/>
  <c r="J146" i="3"/>
  <c r="K146" i="3"/>
  <c r="L146" i="3"/>
  <c r="M146" i="3"/>
  <c r="N146" i="3"/>
  <c r="O146" i="3"/>
  <c r="F147" i="3"/>
  <c r="G147" i="3"/>
  <c r="H147" i="3"/>
  <c r="I147" i="3"/>
  <c r="J147" i="3"/>
  <c r="K147" i="3"/>
  <c r="L147" i="3"/>
  <c r="M147" i="3"/>
  <c r="N147" i="3"/>
  <c r="O147" i="3"/>
  <c r="F148" i="3"/>
  <c r="G148" i="3"/>
  <c r="H148" i="3"/>
  <c r="I148" i="3"/>
  <c r="J148" i="3"/>
  <c r="K148" i="3"/>
  <c r="L148" i="3"/>
  <c r="M148" i="3"/>
  <c r="N148" i="3"/>
  <c r="O148" i="3"/>
  <c r="F151" i="3"/>
  <c r="G151" i="3"/>
  <c r="H151" i="3"/>
  <c r="I151" i="3"/>
  <c r="J151" i="3"/>
  <c r="K151" i="3"/>
  <c r="L151" i="3"/>
  <c r="M151" i="3"/>
  <c r="N151" i="3"/>
  <c r="O151" i="3"/>
  <c r="F153" i="3"/>
  <c r="G153" i="3"/>
  <c r="H153" i="3"/>
  <c r="I153" i="3"/>
  <c r="J153" i="3"/>
  <c r="K153" i="3"/>
  <c r="L153" i="3"/>
  <c r="M153" i="3"/>
  <c r="N153" i="3"/>
  <c r="O153" i="3"/>
  <c r="F154" i="3"/>
  <c r="G154" i="3"/>
  <c r="H154" i="3"/>
  <c r="I154" i="3"/>
  <c r="J154" i="3"/>
  <c r="K154" i="3"/>
  <c r="L154" i="3"/>
  <c r="M154" i="3"/>
  <c r="N154" i="3"/>
  <c r="O154" i="3"/>
  <c r="F155" i="3"/>
  <c r="G155" i="3"/>
  <c r="H155" i="3"/>
  <c r="I155" i="3"/>
  <c r="J155" i="3"/>
  <c r="K155" i="3"/>
  <c r="L155" i="3"/>
  <c r="M155" i="3"/>
  <c r="N155" i="3"/>
  <c r="O155" i="3"/>
  <c r="F157" i="3"/>
  <c r="G157" i="3"/>
  <c r="H157" i="3"/>
  <c r="I157" i="3"/>
  <c r="J157" i="3"/>
  <c r="K157" i="3"/>
  <c r="L157" i="3"/>
  <c r="M157" i="3"/>
  <c r="N157" i="3"/>
  <c r="O157" i="3"/>
  <c r="F158" i="3"/>
  <c r="G158" i="3"/>
  <c r="H158" i="3"/>
  <c r="I158" i="3"/>
  <c r="J158" i="3"/>
  <c r="K158" i="3"/>
  <c r="L158" i="3"/>
  <c r="M158" i="3"/>
  <c r="N158" i="3"/>
  <c r="O158" i="3"/>
  <c r="F161" i="3"/>
  <c r="G161" i="3"/>
  <c r="H161" i="3"/>
  <c r="I161" i="3"/>
  <c r="J161" i="3"/>
  <c r="K161" i="3"/>
  <c r="L161" i="3"/>
  <c r="M161" i="3"/>
  <c r="N161" i="3"/>
  <c r="O161" i="3"/>
  <c r="F162" i="3"/>
  <c r="G162" i="3"/>
  <c r="H162" i="3"/>
  <c r="I162" i="3"/>
  <c r="J162" i="3"/>
  <c r="K162" i="3"/>
  <c r="L162" i="3"/>
  <c r="M162" i="3"/>
  <c r="N162" i="3"/>
  <c r="O162" i="3"/>
  <c r="F164" i="3"/>
  <c r="G164" i="3"/>
  <c r="H164" i="3"/>
  <c r="I164" i="3"/>
  <c r="J164" i="3"/>
  <c r="K164" i="3"/>
  <c r="L164" i="3"/>
  <c r="M164" i="3"/>
  <c r="N164" i="3"/>
  <c r="O164" i="3"/>
  <c r="F166" i="3"/>
  <c r="G166" i="3"/>
  <c r="H166" i="3"/>
  <c r="I166" i="3"/>
  <c r="J166" i="3"/>
  <c r="K166" i="3"/>
  <c r="L166" i="3"/>
  <c r="M166" i="3"/>
  <c r="N166" i="3"/>
  <c r="O166" i="3"/>
  <c r="F167" i="3"/>
  <c r="G167" i="3"/>
  <c r="H167" i="3"/>
  <c r="I167" i="3"/>
  <c r="J167" i="3"/>
  <c r="K167" i="3"/>
  <c r="L167" i="3"/>
  <c r="M167" i="3"/>
  <c r="N167" i="3"/>
  <c r="O167" i="3"/>
  <c r="F168" i="3"/>
  <c r="G168" i="3"/>
  <c r="H168" i="3"/>
  <c r="I168" i="3"/>
  <c r="J168" i="3"/>
  <c r="K168" i="3"/>
  <c r="L168" i="3"/>
  <c r="M168" i="3"/>
  <c r="N168" i="3"/>
  <c r="O168" i="3"/>
  <c r="F172" i="3"/>
  <c r="G172" i="3"/>
  <c r="H172" i="3"/>
  <c r="I172" i="3"/>
  <c r="J172" i="3"/>
  <c r="K172" i="3"/>
  <c r="L172" i="3"/>
  <c r="M172" i="3"/>
  <c r="N172" i="3"/>
  <c r="O172" i="3"/>
  <c r="F173" i="3"/>
  <c r="G173" i="3"/>
  <c r="H173" i="3"/>
  <c r="I173" i="3"/>
  <c r="J173" i="3"/>
  <c r="K173" i="3"/>
  <c r="L173" i="3"/>
  <c r="M173" i="3"/>
  <c r="N173" i="3"/>
  <c r="O173" i="3"/>
  <c r="F185" i="3"/>
  <c r="G185" i="3"/>
  <c r="H185" i="3"/>
  <c r="I185" i="3"/>
  <c r="J185" i="3"/>
  <c r="K185" i="3"/>
  <c r="L185" i="3"/>
  <c r="M185" i="3"/>
  <c r="N185" i="3"/>
  <c r="O185" i="3"/>
  <c r="I186" i="3"/>
  <c r="J186" i="3"/>
  <c r="K186" i="3"/>
  <c r="L186" i="3"/>
  <c r="M186" i="3"/>
  <c r="N186" i="3"/>
  <c r="O186" i="3"/>
  <c r="F191" i="3"/>
  <c r="G191" i="3"/>
  <c r="H191" i="3"/>
  <c r="I191" i="3"/>
  <c r="J191" i="3"/>
  <c r="K191" i="3"/>
  <c r="L191" i="3"/>
  <c r="M191" i="3"/>
  <c r="N191" i="3"/>
  <c r="O191" i="3"/>
  <c r="F192" i="3"/>
  <c r="G192" i="3"/>
  <c r="H192" i="3"/>
  <c r="I192" i="3"/>
  <c r="J192" i="3"/>
  <c r="K192" i="3"/>
  <c r="L192" i="3"/>
  <c r="M192" i="3"/>
  <c r="N192" i="3"/>
  <c r="O192" i="3"/>
  <c r="F193" i="3"/>
  <c r="G193" i="3"/>
  <c r="H193" i="3"/>
  <c r="I193" i="3"/>
  <c r="J193" i="3"/>
  <c r="K193" i="3"/>
  <c r="L193" i="3"/>
  <c r="M193" i="3"/>
  <c r="N193" i="3"/>
  <c r="O193" i="3"/>
  <c r="F194" i="3"/>
  <c r="G194" i="3"/>
  <c r="H194" i="3"/>
  <c r="I194" i="3"/>
  <c r="J194" i="3"/>
  <c r="K194" i="3"/>
  <c r="L194" i="3"/>
  <c r="M194" i="3"/>
  <c r="N194" i="3"/>
  <c r="O194" i="3"/>
  <c r="F201" i="3"/>
  <c r="G201" i="3"/>
  <c r="H201" i="3"/>
  <c r="I201" i="3"/>
  <c r="J201" i="3"/>
  <c r="K201" i="3"/>
  <c r="L201" i="3"/>
  <c r="M201" i="3"/>
  <c r="N201" i="3"/>
  <c r="O201" i="3"/>
  <c r="F202" i="3"/>
  <c r="G202" i="3"/>
  <c r="H202" i="3"/>
  <c r="I202" i="3"/>
  <c r="J202" i="3"/>
  <c r="K202" i="3"/>
  <c r="L202" i="3"/>
  <c r="M202" i="3"/>
  <c r="N202" i="3"/>
  <c r="O202" i="3"/>
  <c r="F203" i="3"/>
  <c r="G203" i="3"/>
  <c r="H203" i="3"/>
  <c r="I203" i="3"/>
  <c r="J203" i="3"/>
  <c r="K203" i="3"/>
  <c r="L203" i="3"/>
  <c r="M203" i="3"/>
  <c r="N203" i="3"/>
  <c r="O203" i="3"/>
  <c r="F204" i="3"/>
  <c r="G204" i="3"/>
  <c r="H204" i="3"/>
  <c r="I204" i="3"/>
  <c r="J204" i="3"/>
  <c r="K204" i="3"/>
  <c r="L204" i="3"/>
  <c r="M204" i="3"/>
  <c r="N204" i="3"/>
  <c r="O204" i="3"/>
  <c r="F205" i="3"/>
  <c r="G205" i="3"/>
  <c r="H205" i="3"/>
  <c r="I205" i="3"/>
  <c r="J205" i="3"/>
  <c r="K205" i="3"/>
  <c r="L205" i="3"/>
  <c r="M205" i="3"/>
  <c r="N205" i="3"/>
  <c r="O205" i="3"/>
  <c r="F206" i="3"/>
  <c r="G206" i="3"/>
  <c r="H206" i="3"/>
  <c r="I206" i="3"/>
  <c r="J206" i="3"/>
  <c r="K206" i="3"/>
  <c r="L206" i="3"/>
  <c r="M206" i="3"/>
  <c r="N206" i="3"/>
  <c r="O206" i="3"/>
  <c r="F207" i="3"/>
  <c r="G207" i="3"/>
  <c r="H207" i="3"/>
  <c r="I207" i="3"/>
  <c r="J207" i="3"/>
  <c r="K207" i="3"/>
  <c r="L207" i="3"/>
  <c r="M207" i="3"/>
  <c r="N207" i="3"/>
  <c r="O207" i="3"/>
  <c r="F208" i="3"/>
  <c r="G208" i="3"/>
  <c r="H208" i="3"/>
  <c r="I208" i="3"/>
  <c r="J208" i="3"/>
  <c r="K208" i="3"/>
  <c r="L208" i="3"/>
  <c r="M208" i="3"/>
  <c r="N208" i="3"/>
  <c r="O208" i="3"/>
  <c r="F209" i="3"/>
  <c r="G209" i="3"/>
  <c r="H209" i="3"/>
  <c r="I209" i="3"/>
  <c r="J209" i="3"/>
  <c r="K209" i="3"/>
  <c r="L209" i="3"/>
  <c r="M209" i="3"/>
  <c r="N209" i="3"/>
  <c r="O209" i="3"/>
  <c r="F210" i="3"/>
  <c r="G210" i="3"/>
  <c r="H210" i="3"/>
  <c r="I210" i="3"/>
  <c r="J210" i="3"/>
  <c r="K210" i="3"/>
  <c r="L210" i="3"/>
  <c r="M210" i="3"/>
  <c r="N210" i="3"/>
  <c r="O210" i="3"/>
  <c r="F211" i="3"/>
  <c r="G211" i="3"/>
  <c r="H211" i="3"/>
  <c r="I211" i="3"/>
  <c r="J211" i="3"/>
  <c r="K211" i="3"/>
  <c r="L211" i="3"/>
  <c r="M211" i="3"/>
  <c r="N211" i="3"/>
  <c r="O211" i="3"/>
  <c r="F212" i="3"/>
  <c r="G212" i="3"/>
  <c r="H212" i="3"/>
  <c r="I212" i="3"/>
  <c r="J212" i="3"/>
  <c r="K212" i="3"/>
  <c r="L212" i="3"/>
  <c r="M212" i="3"/>
  <c r="N212" i="3"/>
  <c r="O212" i="3"/>
  <c r="F213" i="3"/>
  <c r="G213" i="3"/>
  <c r="H213" i="3"/>
  <c r="I213" i="3"/>
  <c r="J213" i="3"/>
  <c r="K213" i="3"/>
  <c r="L213" i="3"/>
  <c r="M213" i="3"/>
  <c r="N213" i="3"/>
  <c r="O213" i="3"/>
  <c r="F214" i="3"/>
  <c r="G214" i="3"/>
  <c r="H214" i="3"/>
  <c r="I214" i="3"/>
  <c r="J214" i="3"/>
  <c r="K214" i="3"/>
  <c r="L214" i="3"/>
  <c r="M214" i="3"/>
  <c r="N214" i="3"/>
  <c r="O214" i="3"/>
  <c r="F215" i="3"/>
  <c r="G215" i="3"/>
  <c r="H215" i="3"/>
  <c r="I215" i="3"/>
  <c r="J215" i="3"/>
  <c r="K215" i="3"/>
  <c r="L215" i="3"/>
  <c r="M215" i="3"/>
  <c r="N215" i="3"/>
  <c r="O215" i="3"/>
  <c r="F216" i="3"/>
  <c r="G216" i="3"/>
  <c r="H216" i="3"/>
  <c r="I216" i="3"/>
  <c r="J216" i="3"/>
  <c r="K216" i="3"/>
  <c r="L216" i="3"/>
  <c r="M216" i="3"/>
  <c r="N216" i="3"/>
  <c r="O216" i="3"/>
  <c r="F217" i="3"/>
  <c r="G217" i="3"/>
  <c r="H217" i="3"/>
  <c r="I217" i="3"/>
  <c r="J217" i="3"/>
  <c r="K217" i="3"/>
  <c r="L217" i="3"/>
  <c r="M217" i="3"/>
  <c r="N217" i="3"/>
  <c r="O217" i="3"/>
  <c r="F218" i="3"/>
  <c r="G218" i="3"/>
  <c r="H218" i="3"/>
  <c r="I218" i="3"/>
  <c r="J218" i="3"/>
  <c r="K218" i="3"/>
  <c r="L218" i="3"/>
  <c r="M218" i="3"/>
  <c r="N218" i="3"/>
  <c r="O218" i="3"/>
  <c r="F219" i="3"/>
  <c r="G219" i="3"/>
  <c r="H219" i="3"/>
  <c r="I219" i="3"/>
  <c r="J219" i="3"/>
  <c r="K219" i="3"/>
  <c r="L219" i="3"/>
  <c r="M219" i="3"/>
  <c r="N219" i="3"/>
  <c r="O219" i="3"/>
  <c r="F5" i="21"/>
  <c r="G5" i="21"/>
  <c r="H5" i="21"/>
  <c r="I5" i="21"/>
  <c r="J5" i="21"/>
  <c r="K5" i="21"/>
  <c r="L5" i="21"/>
  <c r="M5" i="21"/>
  <c r="N5" i="21"/>
  <c r="O5" i="21"/>
  <c r="F10" i="21"/>
  <c r="G10" i="21"/>
  <c r="H10" i="21"/>
  <c r="I10" i="21"/>
  <c r="J10" i="21"/>
  <c r="K10" i="21"/>
  <c r="L10" i="21"/>
  <c r="M10" i="21"/>
  <c r="N10" i="21"/>
  <c r="O10" i="21"/>
  <c r="F11" i="21"/>
  <c r="G11" i="21"/>
  <c r="H11" i="21"/>
  <c r="I11" i="21"/>
  <c r="J11" i="21"/>
  <c r="K11" i="21"/>
  <c r="L11" i="21"/>
  <c r="M11" i="21"/>
  <c r="N11" i="21"/>
  <c r="O11" i="21"/>
  <c r="F13" i="21"/>
  <c r="G13" i="21"/>
  <c r="H13" i="21"/>
  <c r="I13" i="21"/>
  <c r="J13" i="21"/>
  <c r="K13" i="21"/>
  <c r="L13" i="21"/>
  <c r="M13" i="21"/>
  <c r="N13" i="21"/>
  <c r="O13" i="21"/>
  <c r="F16" i="21"/>
  <c r="G16" i="21"/>
  <c r="H16" i="21"/>
  <c r="I16" i="21"/>
  <c r="J16" i="21"/>
  <c r="K16" i="21"/>
  <c r="L16" i="21"/>
  <c r="M16" i="21"/>
  <c r="N16" i="21"/>
  <c r="O16" i="21"/>
  <c r="F17" i="21"/>
  <c r="G17" i="21"/>
  <c r="H17" i="21"/>
  <c r="I17" i="21"/>
  <c r="J17" i="21"/>
  <c r="K17" i="21"/>
  <c r="L17" i="21"/>
  <c r="M17" i="21"/>
  <c r="N17" i="21"/>
  <c r="O17" i="21"/>
  <c r="F18" i="21"/>
  <c r="G18" i="21"/>
  <c r="H18" i="21"/>
  <c r="I18" i="21"/>
  <c r="J18" i="21"/>
  <c r="K18" i="21"/>
  <c r="L18" i="21"/>
  <c r="M18" i="21"/>
  <c r="N18" i="21"/>
  <c r="O18" i="21"/>
  <c r="F21" i="21"/>
  <c r="G21" i="21"/>
  <c r="H21" i="21"/>
  <c r="I21" i="21"/>
  <c r="J21" i="21"/>
  <c r="K21" i="21"/>
  <c r="L21" i="21"/>
  <c r="M21" i="21"/>
  <c r="N21" i="21"/>
  <c r="O21" i="21"/>
  <c r="F22" i="21"/>
  <c r="G22" i="21"/>
  <c r="H22" i="21"/>
  <c r="I22" i="21"/>
  <c r="J22" i="21"/>
  <c r="K22" i="21"/>
  <c r="L22" i="21"/>
  <c r="M22" i="21"/>
  <c r="N22" i="21"/>
  <c r="O22" i="21"/>
  <c r="F23" i="21"/>
  <c r="G23" i="21"/>
  <c r="H23" i="21"/>
  <c r="I23" i="21"/>
  <c r="J23" i="21"/>
  <c r="K23" i="21"/>
  <c r="L23" i="21"/>
  <c r="M23" i="21"/>
  <c r="N23" i="21"/>
  <c r="O23" i="21"/>
  <c r="F24" i="21"/>
  <c r="G24" i="21"/>
  <c r="H24" i="21"/>
  <c r="I24" i="21"/>
  <c r="J24" i="21"/>
  <c r="K24" i="21"/>
  <c r="L24" i="21"/>
  <c r="M24" i="21"/>
  <c r="N24" i="21"/>
  <c r="O24" i="21"/>
  <c r="F25" i="21"/>
  <c r="G25" i="21"/>
  <c r="H25" i="21"/>
  <c r="I25" i="21"/>
  <c r="J25" i="21"/>
  <c r="K25" i="21"/>
  <c r="L25" i="21"/>
  <c r="M25" i="21"/>
  <c r="N25" i="21"/>
  <c r="O25" i="21"/>
  <c r="F26" i="21"/>
  <c r="G26" i="21"/>
  <c r="H26" i="21"/>
  <c r="I26" i="21"/>
  <c r="J26" i="21"/>
  <c r="K26" i="21"/>
  <c r="L26" i="21"/>
  <c r="M26" i="21"/>
  <c r="N26" i="21"/>
  <c r="O26" i="21"/>
  <c r="F27" i="21"/>
  <c r="G27" i="21"/>
  <c r="H27" i="21"/>
  <c r="I27" i="21"/>
  <c r="J27" i="21"/>
  <c r="K27" i="21"/>
  <c r="L27" i="21"/>
  <c r="M27" i="21"/>
  <c r="N27" i="21"/>
  <c r="O27" i="21"/>
  <c r="F28" i="21"/>
  <c r="G28" i="21"/>
  <c r="H28" i="21"/>
  <c r="I28" i="21"/>
  <c r="J28" i="21"/>
  <c r="K28" i="21"/>
  <c r="L28" i="21"/>
  <c r="M28" i="21"/>
  <c r="N28" i="21"/>
  <c r="O28" i="21"/>
  <c r="F29" i="21"/>
  <c r="G29" i="21"/>
  <c r="H29" i="21"/>
  <c r="I29" i="21"/>
  <c r="J29" i="21"/>
  <c r="K29" i="21"/>
  <c r="L29" i="21"/>
  <c r="M29" i="21"/>
  <c r="N29" i="21"/>
  <c r="O29" i="21"/>
  <c r="F30" i="21"/>
  <c r="G30" i="21"/>
  <c r="H30" i="21"/>
  <c r="I30" i="21"/>
  <c r="J30" i="21"/>
  <c r="K30" i="21"/>
  <c r="L30" i="21"/>
  <c r="M30" i="21"/>
  <c r="N30" i="21"/>
  <c r="O30" i="21"/>
  <c r="F31" i="21"/>
  <c r="G31" i="21"/>
  <c r="H31" i="21"/>
  <c r="I31" i="21"/>
  <c r="J31" i="21"/>
  <c r="K31" i="21"/>
  <c r="L31" i="21"/>
  <c r="M31" i="21"/>
  <c r="N31" i="21"/>
  <c r="O31" i="21"/>
  <c r="C11" i="23"/>
  <c r="D11" i="23"/>
  <c r="E11" i="23"/>
  <c r="F11" i="23"/>
  <c r="G11" i="23"/>
  <c r="H11" i="23"/>
  <c r="I11" i="23"/>
  <c r="J11" i="23"/>
  <c r="K11" i="23"/>
  <c r="L11" i="23"/>
  <c r="C22" i="23"/>
  <c r="D22" i="23"/>
  <c r="E22" i="23"/>
  <c r="F22" i="23"/>
  <c r="G22" i="23"/>
  <c r="H22" i="23"/>
  <c r="I22" i="23"/>
  <c r="J22" i="23"/>
  <c r="K22" i="23"/>
  <c r="L22" i="23"/>
  <c r="C24" i="23"/>
  <c r="D24" i="23"/>
  <c r="E24" i="23"/>
  <c r="F24" i="23"/>
  <c r="G24" i="23"/>
  <c r="H24" i="23"/>
  <c r="I24" i="23"/>
  <c r="J24" i="23"/>
  <c r="K24" i="23"/>
  <c r="L24" i="23"/>
  <c r="C31" i="23"/>
  <c r="D31" i="23"/>
  <c r="E31" i="23"/>
  <c r="F31" i="23"/>
  <c r="G31" i="23"/>
  <c r="H31" i="23"/>
  <c r="I31" i="23"/>
  <c r="J31" i="23"/>
  <c r="K31" i="23"/>
  <c r="L31" i="23"/>
  <c r="C44" i="23"/>
  <c r="D44" i="23"/>
  <c r="E44" i="23"/>
  <c r="F44" i="23"/>
  <c r="G44" i="23"/>
  <c r="H44" i="23"/>
  <c r="I44" i="23"/>
  <c r="J44" i="23"/>
  <c r="K44" i="23"/>
  <c r="L44" i="23"/>
  <c r="C45" i="23"/>
  <c r="D45" i="23"/>
  <c r="E45" i="23"/>
  <c r="F45" i="23"/>
  <c r="G45" i="23"/>
  <c r="H45" i="23"/>
  <c r="I45" i="23"/>
  <c r="J45" i="23"/>
  <c r="K45" i="23"/>
  <c r="L45" i="23"/>
  <c r="C53" i="23"/>
  <c r="D53" i="23"/>
  <c r="E53" i="23"/>
  <c r="F53" i="23"/>
  <c r="G53" i="23"/>
  <c r="H53" i="23"/>
  <c r="I53" i="23"/>
  <c r="J53" i="23"/>
  <c r="K53" i="23"/>
  <c r="L53" i="23"/>
  <c r="C54" i="23"/>
  <c r="D54" i="23"/>
  <c r="E54" i="23"/>
  <c r="F54" i="23"/>
  <c r="G54" i="23"/>
  <c r="H54" i="23"/>
  <c r="I54" i="23"/>
  <c r="J54" i="23"/>
  <c r="K54" i="23"/>
  <c r="L54" i="23"/>
  <c r="C55" i="23"/>
  <c r="D55" i="23"/>
  <c r="E55" i="23"/>
  <c r="F55" i="23"/>
  <c r="G55" i="23"/>
  <c r="H55" i="23"/>
  <c r="I55" i="23"/>
  <c r="J55" i="23"/>
  <c r="K55" i="23"/>
  <c r="L55" i="23"/>
  <c r="C56" i="23"/>
  <c r="D56" i="23"/>
  <c r="E56" i="23"/>
  <c r="F56" i="23"/>
  <c r="G56" i="23"/>
  <c r="H56" i="23"/>
  <c r="I56" i="23"/>
  <c r="J56" i="23"/>
  <c r="K56" i="23"/>
  <c r="L56" i="23"/>
  <c r="C57" i="23"/>
  <c r="D57" i="23"/>
  <c r="E57" i="23"/>
  <c r="F57" i="23"/>
  <c r="G57" i="23"/>
  <c r="H57" i="23"/>
  <c r="I57" i="23"/>
  <c r="J57" i="23"/>
  <c r="K57" i="23"/>
  <c r="L57" i="23"/>
  <c r="C58" i="23"/>
  <c r="D58" i="23"/>
  <c r="E58" i="23"/>
  <c r="F58" i="23"/>
  <c r="G58" i="23"/>
  <c r="H58" i="23"/>
  <c r="I58" i="23"/>
  <c r="J58" i="23"/>
  <c r="K58" i="23"/>
  <c r="L58" i="23"/>
  <c r="C59" i="23"/>
  <c r="D59" i="23"/>
  <c r="E59" i="23"/>
  <c r="F59" i="23"/>
  <c r="G59" i="23"/>
  <c r="H59" i="23"/>
  <c r="I59" i="23"/>
  <c r="J59" i="23"/>
  <c r="K59" i="23"/>
  <c r="L59" i="23"/>
  <c r="C60" i="23"/>
  <c r="D60" i="23"/>
  <c r="E60" i="23"/>
  <c r="F60" i="23"/>
  <c r="G60" i="23"/>
  <c r="H60" i="23"/>
  <c r="I60" i="23"/>
  <c r="J60" i="23"/>
  <c r="K60" i="23"/>
  <c r="L60" i="23"/>
  <c r="C61" i="23"/>
  <c r="D61" i="23"/>
  <c r="E61" i="23"/>
  <c r="F61" i="23"/>
  <c r="G61" i="23"/>
  <c r="H61" i="23"/>
  <c r="I61" i="23"/>
  <c r="J61" i="23"/>
  <c r="K61" i="23"/>
  <c r="L61" i="23"/>
  <c r="C62" i="23"/>
  <c r="D62" i="23"/>
  <c r="E62" i="23"/>
  <c r="F62" i="23"/>
  <c r="G62" i="23"/>
  <c r="H62" i="23"/>
  <c r="I62" i="23"/>
  <c r="J62" i="23"/>
  <c r="K62" i="23"/>
  <c r="L62" i="23"/>
  <c r="C63" i="23"/>
  <c r="D63" i="23"/>
  <c r="E63" i="23"/>
  <c r="F63" i="23"/>
  <c r="G63" i="23"/>
  <c r="H63" i="23"/>
  <c r="I63" i="23"/>
  <c r="J63" i="23"/>
  <c r="K63" i="23"/>
  <c r="L63" i="23"/>
  <c r="C64" i="23"/>
  <c r="D64" i="23"/>
  <c r="E64" i="23"/>
  <c r="F64" i="23"/>
  <c r="G64" i="23"/>
  <c r="H64" i="23"/>
  <c r="I64" i="23"/>
  <c r="J64" i="23"/>
  <c r="K64" i="23"/>
  <c r="L64" i="23"/>
  <c r="C76" i="23"/>
  <c r="D76" i="23"/>
  <c r="E76" i="23"/>
  <c r="F76" i="23"/>
  <c r="G76" i="23"/>
  <c r="H76" i="23"/>
  <c r="I76" i="23"/>
  <c r="J76" i="23"/>
  <c r="K76" i="23"/>
  <c r="L76" i="23"/>
  <c r="C77" i="23"/>
  <c r="D77" i="23"/>
  <c r="E77" i="23"/>
  <c r="F77" i="23"/>
  <c r="G77" i="23"/>
  <c r="H77" i="23"/>
  <c r="I77" i="23"/>
  <c r="J77" i="23"/>
  <c r="K77" i="23"/>
  <c r="L77" i="23"/>
  <c r="C78" i="23"/>
  <c r="D78" i="23"/>
  <c r="E78" i="23"/>
  <c r="F78" i="23"/>
  <c r="G78" i="23"/>
  <c r="H78" i="23"/>
  <c r="I78" i="23"/>
  <c r="J78" i="23"/>
  <c r="K78" i="23"/>
  <c r="L78" i="23"/>
  <c r="C79" i="23"/>
  <c r="D79" i="23"/>
  <c r="E79" i="23"/>
  <c r="F79" i="23"/>
  <c r="G79" i="23"/>
  <c r="H79" i="23"/>
  <c r="I79" i="23"/>
  <c r="J79" i="23"/>
  <c r="K79" i="23"/>
  <c r="L79" i="23"/>
  <c r="C80" i="23"/>
  <c r="D80" i="23"/>
  <c r="E80" i="23"/>
  <c r="F80" i="23"/>
  <c r="G80" i="23"/>
  <c r="H80" i="23"/>
  <c r="I80" i="23"/>
  <c r="J80" i="23"/>
  <c r="K80" i="23"/>
  <c r="L80" i="23"/>
  <c r="C81" i="23"/>
  <c r="D81" i="23"/>
  <c r="E81" i="23"/>
  <c r="F81" i="23"/>
  <c r="G81" i="23"/>
  <c r="H81" i="23"/>
  <c r="I81" i="23"/>
  <c r="J81" i="23"/>
  <c r="K81" i="23"/>
  <c r="L81" i="23"/>
  <c r="C84" i="23"/>
  <c r="D84" i="23"/>
  <c r="E84" i="23"/>
  <c r="F84" i="23"/>
  <c r="G84" i="23"/>
  <c r="H84" i="23"/>
  <c r="I84" i="23"/>
  <c r="J84" i="23"/>
  <c r="K84" i="23"/>
  <c r="L84" i="23"/>
  <c r="C85" i="23"/>
  <c r="D85" i="23"/>
  <c r="E85" i="23"/>
  <c r="F85" i="23"/>
  <c r="G85" i="23"/>
  <c r="H85" i="23"/>
  <c r="I85" i="23"/>
  <c r="J85" i="23"/>
  <c r="K85" i="23"/>
  <c r="L85" i="23"/>
  <c r="C87" i="23"/>
  <c r="D87" i="23"/>
  <c r="E87" i="23"/>
  <c r="F87" i="23"/>
  <c r="G87" i="23"/>
  <c r="H87" i="23"/>
  <c r="I87" i="23"/>
  <c r="J87" i="23"/>
  <c r="K87" i="23"/>
  <c r="L87" i="23"/>
  <c r="C88" i="23"/>
  <c r="D88" i="23"/>
  <c r="E88" i="23"/>
  <c r="F88" i="23"/>
  <c r="G88" i="23"/>
  <c r="H88" i="23"/>
  <c r="I88" i="23"/>
  <c r="J88" i="23"/>
  <c r="K88" i="23"/>
  <c r="L88" i="23"/>
  <c r="C89" i="23"/>
  <c r="D89" i="23"/>
  <c r="E89" i="23"/>
  <c r="F89" i="23"/>
  <c r="G89" i="23"/>
  <c r="H89" i="23"/>
  <c r="I89" i="23"/>
  <c r="J89" i="23"/>
  <c r="K89" i="23"/>
  <c r="L89" i="23"/>
  <c r="C98" i="23"/>
  <c r="D98" i="23"/>
  <c r="E98" i="23"/>
  <c r="F98" i="23"/>
  <c r="G98" i="23"/>
  <c r="H98" i="23"/>
  <c r="I98" i="23"/>
  <c r="J98" i="23"/>
  <c r="K98" i="23"/>
  <c r="L98" i="23"/>
  <c r="C99" i="23"/>
  <c r="D99" i="23"/>
  <c r="E99" i="23"/>
  <c r="F99" i="23"/>
  <c r="G99" i="23"/>
  <c r="H99" i="23"/>
  <c r="I99" i="23"/>
  <c r="J99" i="23"/>
  <c r="K99" i="23"/>
  <c r="L99" i="23"/>
  <c r="C100" i="23"/>
  <c r="D100" i="23"/>
  <c r="E100" i="23"/>
  <c r="F100" i="23"/>
  <c r="G100" i="23"/>
  <c r="H100" i="23"/>
  <c r="I100" i="23"/>
  <c r="J100" i="23"/>
  <c r="K100" i="23"/>
  <c r="L100" i="23"/>
  <c r="C101" i="23"/>
  <c r="D101" i="23"/>
  <c r="E101" i="23"/>
  <c r="F101" i="23"/>
  <c r="G101" i="23"/>
  <c r="H101" i="23"/>
  <c r="I101" i="23"/>
  <c r="J101" i="23"/>
  <c r="K101" i="23"/>
  <c r="L101" i="23"/>
  <c r="C102" i="23"/>
  <c r="D102" i="23"/>
  <c r="E102" i="23"/>
  <c r="F102" i="23"/>
  <c r="G102" i="23"/>
  <c r="H102" i="23"/>
  <c r="I102" i="23"/>
  <c r="J102" i="23"/>
  <c r="K102" i="23"/>
  <c r="L102" i="23"/>
  <c r="C103" i="23"/>
  <c r="D103" i="23"/>
  <c r="E103" i="23"/>
  <c r="F103" i="23"/>
  <c r="G103" i="23"/>
  <c r="H103" i="23"/>
  <c r="I103" i="23"/>
  <c r="J103" i="23"/>
  <c r="K103" i="23"/>
  <c r="L103" i="23"/>
  <c r="C104" i="23"/>
  <c r="D104" i="23"/>
  <c r="E104" i="23"/>
  <c r="F104" i="23"/>
  <c r="G104" i="23"/>
  <c r="H104" i="23"/>
  <c r="I104" i="23"/>
  <c r="J104" i="23"/>
  <c r="K104" i="23"/>
  <c r="L104" i="23"/>
  <c r="C105" i="23"/>
  <c r="D105" i="23"/>
  <c r="E105" i="23"/>
  <c r="F105" i="23"/>
  <c r="G105" i="23"/>
  <c r="H105" i="23"/>
  <c r="I105" i="23"/>
  <c r="J105" i="23"/>
  <c r="K105" i="23"/>
  <c r="L105" i="23"/>
  <c r="C106" i="23"/>
  <c r="D106" i="23"/>
  <c r="E106" i="23"/>
  <c r="F106" i="23"/>
  <c r="G106" i="23"/>
  <c r="H106" i="23"/>
  <c r="I106" i="23"/>
  <c r="J106" i="23"/>
  <c r="K106" i="23"/>
  <c r="L106" i="23"/>
  <c r="C2" i="22"/>
  <c r="D2" i="22"/>
  <c r="E2" i="22"/>
  <c r="F2" i="22"/>
  <c r="G2" i="22"/>
  <c r="H2" i="22"/>
  <c r="I2" i="22"/>
  <c r="J2" i="22"/>
  <c r="K2" i="22"/>
  <c r="L2" i="22"/>
  <c r="C5" i="22"/>
  <c r="D5" i="22"/>
  <c r="E5" i="22"/>
  <c r="F5" i="22"/>
  <c r="G5" i="22"/>
  <c r="H5" i="22"/>
  <c r="I5" i="22"/>
  <c r="J5" i="22"/>
  <c r="K5" i="22"/>
  <c r="L5" i="22"/>
  <c r="C7" i="22"/>
  <c r="D7" i="22"/>
  <c r="E7" i="22"/>
  <c r="F7" i="22"/>
  <c r="G7" i="22"/>
  <c r="H7" i="22"/>
  <c r="I7" i="22"/>
  <c r="J7" i="22"/>
  <c r="K7" i="22"/>
  <c r="L7" i="22"/>
  <c r="P7" i="22"/>
  <c r="Q7" i="22"/>
  <c r="R7" i="22"/>
  <c r="S7" i="22"/>
  <c r="T7" i="22"/>
  <c r="U7" i="22"/>
  <c r="V7" i="22"/>
  <c r="W7" i="22"/>
  <c r="X7" i="22"/>
  <c r="Y7" i="22"/>
  <c r="C9" i="22"/>
  <c r="D9" i="22"/>
  <c r="E9" i="22"/>
  <c r="F9" i="22"/>
  <c r="G9" i="22"/>
  <c r="H9" i="22"/>
  <c r="I9" i="22"/>
  <c r="J9" i="22"/>
  <c r="K9" i="22"/>
  <c r="L9" i="22"/>
  <c r="P9" i="22"/>
  <c r="Q9" i="22"/>
  <c r="R9" i="22"/>
  <c r="S9" i="22"/>
  <c r="T9" i="22"/>
  <c r="U9" i="22"/>
  <c r="V9" i="22"/>
  <c r="W9" i="22"/>
  <c r="X9" i="22"/>
  <c r="Y9" i="22"/>
  <c r="C10" i="22"/>
  <c r="D10" i="22"/>
  <c r="E10" i="22"/>
  <c r="F10" i="22"/>
  <c r="G10" i="22"/>
  <c r="H10" i="22"/>
  <c r="I10" i="22"/>
  <c r="J10" i="22"/>
  <c r="K10" i="22"/>
  <c r="L10" i="22"/>
  <c r="P10" i="22"/>
  <c r="Q10" i="22"/>
  <c r="R10" i="22"/>
  <c r="S10" i="22"/>
  <c r="T10" i="22"/>
  <c r="U10" i="22"/>
  <c r="V10" i="22"/>
  <c r="W10" i="22"/>
  <c r="X10" i="22"/>
  <c r="Y10" i="22"/>
  <c r="C11" i="22"/>
  <c r="D11" i="22"/>
  <c r="E11" i="22"/>
  <c r="F11" i="22"/>
  <c r="G11" i="22"/>
  <c r="H11" i="22"/>
  <c r="I11" i="22"/>
  <c r="J11" i="22"/>
  <c r="K11" i="22"/>
  <c r="L11" i="22"/>
  <c r="P11" i="22"/>
  <c r="Q11" i="22"/>
  <c r="R11" i="22"/>
  <c r="S11" i="22"/>
  <c r="T11" i="22"/>
  <c r="U11" i="22"/>
  <c r="V11" i="22"/>
  <c r="W11" i="22"/>
  <c r="X11" i="22"/>
  <c r="Y11" i="22"/>
  <c r="C13" i="22"/>
  <c r="D13" i="22"/>
  <c r="E13" i="22"/>
  <c r="F13" i="22"/>
  <c r="G13" i="22"/>
  <c r="H13" i="22"/>
  <c r="I13" i="22"/>
  <c r="J13" i="22"/>
  <c r="K13" i="22"/>
  <c r="L13" i="22"/>
  <c r="C14" i="22"/>
  <c r="D14" i="22"/>
  <c r="E14" i="22"/>
  <c r="F14" i="22"/>
  <c r="G14" i="22"/>
  <c r="H14" i="22"/>
  <c r="I14" i="22"/>
  <c r="J14" i="22"/>
  <c r="K14" i="22"/>
  <c r="L14" i="22"/>
  <c r="P14" i="22"/>
  <c r="Q14" i="22"/>
  <c r="R14" i="22"/>
  <c r="S14" i="22"/>
  <c r="T14" i="22"/>
  <c r="U14" i="22"/>
  <c r="V14" i="22"/>
  <c r="W14" i="22"/>
  <c r="X14" i="22"/>
  <c r="Y14" i="22"/>
  <c r="C15" i="22"/>
  <c r="D15" i="22"/>
  <c r="E15" i="22"/>
  <c r="F15" i="22"/>
  <c r="G15" i="22"/>
  <c r="H15" i="22"/>
  <c r="I15" i="22"/>
  <c r="J15" i="22"/>
  <c r="K15" i="22"/>
  <c r="L15" i="22"/>
  <c r="P15" i="22"/>
  <c r="Q15" i="22"/>
  <c r="R15" i="22"/>
  <c r="S15" i="22"/>
  <c r="T15" i="22"/>
  <c r="U15" i="22"/>
  <c r="V15" i="22"/>
  <c r="W15" i="22"/>
  <c r="X15" i="22"/>
  <c r="Y15" i="22"/>
  <c r="C16" i="22"/>
  <c r="D16" i="22"/>
  <c r="E16" i="22"/>
  <c r="F16" i="22"/>
  <c r="G16" i="22"/>
  <c r="H16" i="22"/>
  <c r="I16" i="22"/>
  <c r="J16" i="22"/>
  <c r="K16" i="22"/>
  <c r="L16" i="22"/>
  <c r="P16" i="22"/>
  <c r="Q16" i="22"/>
  <c r="R16" i="22"/>
  <c r="S16" i="22"/>
  <c r="T16" i="22"/>
  <c r="U16" i="22"/>
  <c r="V16" i="22"/>
  <c r="W16" i="22"/>
  <c r="X16" i="22"/>
  <c r="Y16" i="22"/>
  <c r="C17" i="22"/>
  <c r="D17" i="22"/>
  <c r="E17" i="22"/>
  <c r="F17" i="22"/>
  <c r="G17" i="22"/>
  <c r="H17" i="22"/>
  <c r="I17" i="22"/>
  <c r="J17" i="22"/>
  <c r="K17" i="22"/>
  <c r="L17" i="22"/>
  <c r="P17" i="22"/>
  <c r="Q17" i="22"/>
  <c r="R17" i="22"/>
  <c r="S17" i="22"/>
  <c r="T17" i="22"/>
  <c r="U17" i="22"/>
  <c r="V17" i="22"/>
  <c r="W17" i="22"/>
  <c r="X17" i="22"/>
  <c r="Y17" i="22"/>
  <c r="C18" i="22"/>
  <c r="D18" i="22"/>
  <c r="E18" i="22"/>
  <c r="F18" i="22"/>
  <c r="G18" i="22"/>
  <c r="H18" i="22"/>
  <c r="I18" i="22"/>
  <c r="J18" i="22"/>
  <c r="K18" i="22"/>
  <c r="L18" i="22"/>
  <c r="P18" i="22"/>
  <c r="Q18" i="22"/>
  <c r="R18" i="22"/>
  <c r="S18" i="22"/>
  <c r="T18" i="22"/>
  <c r="U18" i="22"/>
  <c r="V18" i="22"/>
  <c r="W18" i="22"/>
  <c r="X18" i="22"/>
  <c r="Y18" i="22"/>
  <c r="C21" i="22"/>
  <c r="D21" i="22"/>
  <c r="E21" i="22"/>
  <c r="F21" i="22"/>
  <c r="G21" i="22"/>
  <c r="H21" i="22"/>
  <c r="I21" i="22"/>
  <c r="J21" i="22"/>
  <c r="K21" i="22"/>
  <c r="L21" i="22"/>
  <c r="P21" i="22"/>
  <c r="Q21" i="22"/>
  <c r="R21" i="22"/>
  <c r="S21" i="22"/>
  <c r="T21" i="22"/>
  <c r="U21" i="22"/>
  <c r="V21" i="22"/>
  <c r="W21" i="22"/>
  <c r="X21" i="22"/>
  <c r="Y21" i="22"/>
  <c r="C30" i="22"/>
  <c r="D30" i="22"/>
  <c r="E30" i="22"/>
  <c r="F30" i="22"/>
  <c r="G30" i="22"/>
  <c r="H30" i="22"/>
  <c r="I30" i="22"/>
  <c r="J30" i="22"/>
  <c r="K30" i="22"/>
  <c r="L30" i="22"/>
  <c r="P30" i="22"/>
  <c r="Q30" i="22"/>
  <c r="R30" i="22"/>
  <c r="S30" i="22"/>
  <c r="T30" i="22"/>
  <c r="U30" i="22"/>
  <c r="V30" i="22"/>
  <c r="W30" i="22"/>
  <c r="X30" i="22"/>
  <c r="Y30" i="22"/>
  <c r="C34" i="22"/>
  <c r="D34" i="22"/>
  <c r="E34" i="22"/>
  <c r="F34" i="22"/>
  <c r="G34" i="22"/>
  <c r="H34" i="22"/>
  <c r="I34" i="22"/>
  <c r="J34" i="22"/>
  <c r="K34" i="22"/>
  <c r="L34" i="22"/>
  <c r="P34" i="22"/>
  <c r="Q34" i="22"/>
  <c r="R34" i="22"/>
  <c r="S34" i="22"/>
  <c r="T34" i="22"/>
  <c r="U34" i="22"/>
  <c r="V34" i="22"/>
  <c r="W34" i="22"/>
  <c r="X34" i="22"/>
  <c r="Y34" i="22"/>
  <c r="C35" i="22"/>
  <c r="D35" i="22"/>
  <c r="E35" i="22"/>
  <c r="F35" i="22"/>
  <c r="G35" i="22"/>
  <c r="H35" i="22"/>
  <c r="I35" i="22"/>
  <c r="J35" i="22"/>
  <c r="K35" i="22"/>
  <c r="L35" i="22"/>
  <c r="P35" i="22"/>
  <c r="Q35" i="22"/>
  <c r="R35" i="22"/>
  <c r="S35" i="22"/>
  <c r="T35" i="22"/>
  <c r="U35" i="22"/>
  <c r="V35" i="22"/>
  <c r="W35" i="22"/>
  <c r="X35" i="22"/>
  <c r="Y35" i="22"/>
  <c r="C40" i="22"/>
  <c r="D40" i="22"/>
  <c r="E40" i="22"/>
  <c r="F40" i="22"/>
  <c r="G40" i="22"/>
  <c r="H40" i="22"/>
  <c r="I40" i="22"/>
  <c r="J40" i="22"/>
  <c r="K40" i="22"/>
  <c r="L40" i="22"/>
  <c r="P40" i="22"/>
  <c r="Q40" i="22"/>
  <c r="R40" i="22"/>
  <c r="S40" i="22"/>
  <c r="T40" i="22"/>
  <c r="U40" i="22"/>
  <c r="V40" i="22"/>
  <c r="W40" i="22"/>
  <c r="X40" i="22"/>
  <c r="Y40" i="22"/>
  <c r="C47" i="22"/>
  <c r="D47" i="22"/>
  <c r="E47" i="22"/>
  <c r="F47" i="22"/>
  <c r="G47" i="22"/>
  <c r="H47" i="22"/>
  <c r="I47" i="22"/>
  <c r="J47" i="22"/>
  <c r="K47" i="22"/>
  <c r="L47" i="22"/>
  <c r="P47" i="22"/>
  <c r="Q47" i="22"/>
  <c r="R47" i="22"/>
  <c r="S47" i="22"/>
  <c r="T47" i="22"/>
  <c r="U47" i="22"/>
  <c r="V47" i="22"/>
  <c r="W47" i="22"/>
  <c r="X47" i="22"/>
  <c r="Y47" i="22"/>
  <c r="C48" i="22"/>
  <c r="D48" i="22"/>
  <c r="E48" i="22"/>
  <c r="F48" i="22"/>
  <c r="G48" i="22"/>
  <c r="H48" i="22"/>
  <c r="I48" i="22"/>
  <c r="J48" i="22"/>
  <c r="K48" i="22"/>
  <c r="L48" i="22"/>
  <c r="P48" i="22"/>
  <c r="Q48" i="22"/>
  <c r="R48" i="22"/>
  <c r="S48" i="22"/>
  <c r="T48" i="22"/>
  <c r="U48" i="22"/>
  <c r="V48" i="22"/>
  <c r="W48" i="22"/>
  <c r="X48" i="22"/>
  <c r="Y48" i="22"/>
  <c r="C55" i="22"/>
  <c r="D55" i="22"/>
  <c r="E55" i="22"/>
  <c r="F55" i="22"/>
  <c r="G55" i="22"/>
  <c r="H55" i="22"/>
  <c r="I55" i="22"/>
  <c r="J55" i="22"/>
  <c r="K55" i="22"/>
  <c r="L55" i="22"/>
  <c r="P55" i="22"/>
  <c r="Q55" i="22"/>
  <c r="R55" i="22"/>
  <c r="S55" i="22"/>
  <c r="T55" i="22"/>
  <c r="U55" i="22"/>
  <c r="V55" i="22"/>
  <c r="W55" i="22"/>
  <c r="X55" i="22"/>
  <c r="Y55" i="22"/>
  <c r="C57" i="22"/>
  <c r="D57" i="22"/>
  <c r="E57" i="22"/>
  <c r="F57" i="22"/>
  <c r="G57" i="22"/>
  <c r="H57" i="22"/>
  <c r="I57" i="22"/>
  <c r="J57" i="22"/>
  <c r="K57" i="22"/>
  <c r="L57" i="22"/>
  <c r="P57" i="22"/>
  <c r="Q57" i="22"/>
  <c r="R57" i="22"/>
  <c r="S57" i="22"/>
  <c r="T57" i="22"/>
  <c r="U57" i="22"/>
  <c r="V57" i="22"/>
  <c r="W57" i="22"/>
  <c r="X57" i="22"/>
  <c r="Y57" i="22"/>
  <c r="C60" i="22"/>
  <c r="D60" i="22"/>
  <c r="E60" i="22"/>
  <c r="F60" i="22"/>
  <c r="G60" i="22"/>
  <c r="H60" i="22"/>
  <c r="I60" i="22"/>
  <c r="J60" i="22"/>
  <c r="K60" i="22"/>
  <c r="L60" i="22"/>
  <c r="P60" i="22"/>
  <c r="Q60" i="22"/>
  <c r="R60" i="22"/>
  <c r="S60" i="22"/>
  <c r="T60" i="22"/>
  <c r="U60" i="22"/>
  <c r="V60" i="22"/>
  <c r="W60" i="22"/>
  <c r="X60" i="22"/>
  <c r="Y60" i="22"/>
  <c r="C65" i="22"/>
  <c r="D65" i="22"/>
  <c r="E65" i="22"/>
  <c r="F65" i="22"/>
  <c r="G65" i="22"/>
  <c r="H65" i="22"/>
  <c r="I65" i="22"/>
  <c r="J65" i="22"/>
  <c r="K65" i="22"/>
  <c r="L65" i="22"/>
  <c r="P65" i="22"/>
  <c r="Q65" i="22"/>
  <c r="R65" i="22"/>
  <c r="S65" i="22"/>
  <c r="T65" i="22"/>
  <c r="U65" i="22"/>
  <c r="V65" i="22"/>
  <c r="W65" i="22"/>
  <c r="X65" i="22"/>
  <c r="Y65" i="22"/>
  <c r="C66" i="22"/>
  <c r="D66" i="22"/>
  <c r="E66" i="22"/>
  <c r="F66" i="22"/>
  <c r="G66" i="22"/>
  <c r="H66" i="22"/>
  <c r="I66" i="22"/>
  <c r="J66" i="22"/>
  <c r="K66" i="22"/>
  <c r="L66" i="22"/>
  <c r="P66" i="22"/>
  <c r="Q66" i="22"/>
  <c r="R66" i="22"/>
  <c r="S66" i="22"/>
  <c r="T66" i="22"/>
  <c r="U66" i="22"/>
  <c r="V66" i="22"/>
  <c r="W66" i="22"/>
  <c r="X66" i="22"/>
  <c r="Y66" i="22"/>
  <c r="C67" i="22"/>
  <c r="D67" i="22"/>
  <c r="E67" i="22"/>
  <c r="F67" i="22"/>
  <c r="G67" i="22"/>
  <c r="H67" i="22"/>
  <c r="I67" i="22"/>
  <c r="J67" i="22"/>
  <c r="K67" i="22"/>
  <c r="L67" i="22"/>
  <c r="P67" i="22"/>
  <c r="Q67" i="22"/>
  <c r="R67" i="22"/>
  <c r="S67" i="22"/>
  <c r="T67" i="22"/>
  <c r="U67" i="22"/>
  <c r="V67" i="22"/>
  <c r="W67" i="22"/>
  <c r="X67" i="22"/>
  <c r="Y67" i="22"/>
  <c r="C68" i="22"/>
  <c r="D68" i="22"/>
  <c r="E68" i="22"/>
  <c r="F68" i="22"/>
  <c r="G68" i="22"/>
  <c r="H68" i="22"/>
  <c r="I68" i="22"/>
  <c r="J68" i="22"/>
  <c r="K68" i="22"/>
  <c r="L68" i="22"/>
  <c r="P68" i="22"/>
  <c r="Q68" i="22"/>
  <c r="R68" i="22"/>
  <c r="S68" i="22"/>
  <c r="T68" i="22"/>
  <c r="U68" i="22"/>
  <c r="V68" i="22"/>
  <c r="W68" i="22"/>
  <c r="X68" i="22"/>
  <c r="Y68" i="22"/>
  <c r="C69" i="22"/>
  <c r="D69" i="22"/>
  <c r="E69" i="22"/>
  <c r="F69" i="22"/>
  <c r="G69" i="22"/>
  <c r="H69" i="22"/>
  <c r="I69" i="22"/>
  <c r="J69" i="22"/>
  <c r="K69" i="22"/>
  <c r="L69" i="22"/>
  <c r="P69" i="22"/>
  <c r="Q69" i="22"/>
  <c r="R69" i="22"/>
  <c r="S69" i="22"/>
  <c r="T69" i="22"/>
  <c r="U69" i="22"/>
  <c r="V69" i="22"/>
  <c r="W69" i="22"/>
  <c r="X69" i="22"/>
  <c r="Y69" i="22"/>
  <c r="C70" i="22"/>
  <c r="D70" i="22"/>
  <c r="E70" i="22"/>
  <c r="F70" i="22"/>
  <c r="G70" i="22"/>
  <c r="H70" i="22"/>
  <c r="I70" i="22"/>
  <c r="J70" i="22"/>
  <c r="K70" i="22"/>
  <c r="L70" i="22"/>
  <c r="P70" i="22"/>
  <c r="Q70" i="22"/>
  <c r="R70" i="22"/>
  <c r="S70" i="22"/>
  <c r="T70" i="22"/>
  <c r="U70" i="22"/>
  <c r="V70" i="22"/>
  <c r="W70" i="22"/>
  <c r="X70" i="22"/>
  <c r="Y70" i="22"/>
  <c r="C71" i="22"/>
  <c r="D71" i="22"/>
  <c r="E71" i="22"/>
  <c r="F71" i="22"/>
  <c r="G71" i="22"/>
  <c r="H71" i="22"/>
  <c r="I71" i="22"/>
  <c r="J71" i="22"/>
  <c r="K71" i="22"/>
  <c r="L71" i="22"/>
  <c r="P71" i="22"/>
  <c r="Q71" i="22"/>
  <c r="R71" i="22"/>
  <c r="S71" i="22"/>
  <c r="T71" i="22"/>
  <c r="U71" i="22"/>
  <c r="V71" i="22"/>
  <c r="W71" i="22"/>
  <c r="X71" i="22"/>
  <c r="Y71" i="22"/>
  <c r="C73" i="22"/>
  <c r="D73" i="22"/>
  <c r="E73" i="22"/>
  <c r="F73" i="22"/>
  <c r="G73" i="22"/>
  <c r="H73" i="22"/>
  <c r="I73" i="22"/>
  <c r="J73" i="22"/>
  <c r="K73" i="22"/>
  <c r="L73" i="22"/>
  <c r="P73" i="22"/>
  <c r="Q73" i="22"/>
  <c r="R73" i="22"/>
  <c r="S73" i="22"/>
  <c r="T73" i="22"/>
  <c r="U73" i="22"/>
  <c r="V73" i="22"/>
  <c r="W73" i="22"/>
  <c r="X73" i="22"/>
  <c r="Y73" i="22"/>
  <c r="C74" i="22"/>
  <c r="D74" i="22"/>
  <c r="E74" i="22"/>
  <c r="F74" i="22"/>
  <c r="G74" i="22"/>
  <c r="H74" i="22"/>
  <c r="I74" i="22"/>
  <c r="J74" i="22"/>
  <c r="K74" i="22"/>
  <c r="L74" i="22"/>
  <c r="P74" i="22"/>
  <c r="Q74" i="22"/>
  <c r="R74" i="22"/>
  <c r="S74" i="22"/>
  <c r="T74" i="22"/>
  <c r="U74" i="22"/>
  <c r="V74" i="22"/>
  <c r="W74" i="22"/>
  <c r="X74" i="22"/>
  <c r="Y74" i="22"/>
  <c r="C75" i="22"/>
  <c r="D75" i="22"/>
  <c r="E75" i="22"/>
  <c r="F75" i="22"/>
  <c r="G75" i="22"/>
  <c r="H75" i="22"/>
  <c r="I75" i="22"/>
  <c r="J75" i="22"/>
  <c r="K75" i="22"/>
  <c r="L75" i="22"/>
  <c r="P75" i="22"/>
  <c r="Q75" i="22"/>
  <c r="R75" i="22"/>
  <c r="S75" i="22"/>
  <c r="T75" i="22"/>
  <c r="U75" i="22"/>
  <c r="V75" i="22"/>
  <c r="W75" i="22"/>
  <c r="X75" i="22"/>
  <c r="Y75" i="22"/>
  <c r="C79" i="22"/>
  <c r="D79" i="22"/>
  <c r="E79" i="22"/>
  <c r="F79" i="22"/>
  <c r="G79" i="22"/>
  <c r="H79" i="22"/>
  <c r="I79" i="22"/>
  <c r="J79" i="22"/>
  <c r="K79" i="22"/>
  <c r="L79" i="22"/>
  <c r="P79" i="22"/>
  <c r="Q79" i="22"/>
  <c r="R79" i="22"/>
  <c r="S79" i="22"/>
  <c r="T79" i="22"/>
  <c r="U79" i="22"/>
  <c r="V79" i="22"/>
  <c r="W79" i="22"/>
  <c r="X79" i="22"/>
  <c r="Y79" i="22"/>
  <c r="C80" i="22"/>
  <c r="D80" i="22"/>
  <c r="E80" i="22"/>
  <c r="F80" i="22"/>
  <c r="G80" i="22"/>
  <c r="H80" i="22"/>
  <c r="I80" i="22"/>
  <c r="J80" i="22"/>
  <c r="K80" i="22"/>
  <c r="L80" i="22"/>
  <c r="P80" i="22"/>
  <c r="Q80" i="22"/>
  <c r="R80" i="22"/>
  <c r="S80" i="22"/>
  <c r="T80" i="22"/>
  <c r="U80" i="22"/>
  <c r="V80" i="22"/>
  <c r="W80" i="22"/>
  <c r="X80" i="22"/>
  <c r="Y80" i="22"/>
  <c r="C83" i="22"/>
  <c r="D83" i="22"/>
  <c r="E83" i="22"/>
  <c r="F83" i="22"/>
  <c r="G83" i="22"/>
  <c r="H83" i="22"/>
  <c r="I83" i="22"/>
  <c r="J83" i="22"/>
  <c r="K83" i="22"/>
  <c r="L83" i="22"/>
  <c r="P83" i="22"/>
  <c r="Q83" i="22"/>
  <c r="R83" i="22"/>
  <c r="S83" i="22"/>
  <c r="T83" i="22"/>
  <c r="U83" i="22"/>
  <c r="V83" i="22"/>
  <c r="W83" i="22"/>
  <c r="X83" i="22"/>
  <c r="Y83" i="22"/>
  <c r="C84" i="22"/>
  <c r="D84" i="22"/>
  <c r="E84" i="22"/>
  <c r="F84" i="22"/>
  <c r="G84" i="22"/>
  <c r="H84" i="22"/>
  <c r="I84" i="22"/>
  <c r="J84" i="22"/>
  <c r="K84" i="22"/>
  <c r="L84" i="22"/>
  <c r="P84" i="22"/>
  <c r="Q84" i="22"/>
  <c r="R84" i="22"/>
  <c r="S84" i="22"/>
  <c r="T84" i="22"/>
  <c r="U84" i="22"/>
  <c r="V84" i="22"/>
  <c r="W84" i="22"/>
  <c r="X84" i="22"/>
  <c r="Y84" i="22"/>
  <c r="C89" i="22"/>
  <c r="D89" i="22"/>
  <c r="E89" i="22"/>
  <c r="F89" i="22"/>
  <c r="G89" i="22"/>
  <c r="H89" i="22"/>
  <c r="I89" i="22"/>
  <c r="J89" i="22"/>
  <c r="K89" i="22"/>
  <c r="L89" i="22"/>
  <c r="C90" i="22"/>
  <c r="D90" i="22"/>
  <c r="E90" i="22"/>
  <c r="F90" i="22"/>
  <c r="G90" i="22"/>
  <c r="H90" i="22"/>
  <c r="I90" i="22"/>
  <c r="J90" i="22"/>
  <c r="K90" i="22"/>
  <c r="L90" i="22"/>
  <c r="C91" i="22"/>
  <c r="D91" i="22"/>
  <c r="E91" i="22"/>
  <c r="F91" i="22"/>
  <c r="G91" i="22"/>
  <c r="H91" i="22"/>
  <c r="I91" i="22"/>
  <c r="J91" i="22"/>
  <c r="K91" i="22"/>
  <c r="L91" i="22"/>
  <c r="C92" i="22"/>
  <c r="D92" i="22"/>
  <c r="E92" i="22"/>
  <c r="F92" i="22"/>
  <c r="G92" i="22"/>
  <c r="H92" i="22"/>
  <c r="I92" i="22"/>
  <c r="J92" i="22"/>
  <c r="K92" i="22"/>
  <c r="L92" i="22"/>
  <c r="C93" i="22"/>
  <c r="D93" i="22"/>
  <c r="E93" i="22"/>
  <c r="F93" i="22"/>
  <c r="G93" i="22"/>
  <c r="H93" i="22"/>
  <c r="I93" i="22"/>
  <c r="J93" i="22"/>
  <c r="K93" i="22"/>
  <c r="L93" i="22"/>
  <c r="C94" i="22"/>
  <c r="D94" i="22"/>
  <c r="E94" i="22"/>
  <c r="F94" i="22"/>
  <c r="G94" i="22"/>
  <c r="H94" i="22"/>
  <c r="I94" i="22"/>
  <c r="J94" i="22"/>
  <c r="K94" i="22"/>
  <c r="L94" i="22"/>
  <c r="C130" i="22"/>
  <c r="D130" i="22"/>
  <c r="E130" i="22"/>
  <c r="F130" i="22"/>
  <c r="G130" i="22"/>
  <c r="H130" i="22"/>
  <c r="I130" i="22"/>
  <c r="J130" i="22"/>
  <c r="K130" i="22"/>
  <c r="L130" i="22"/>
  <c r="C131" i="22"/>
  <c r="D131" i="22"/>
  <c r="E131" i="22"/>
  <c r="F131" i="22"/>
  <c r="G131" i="22"/>
  <c r="H131" i="22"/>
  <c r="I131" i="22"/>
  <c r="J131" i="22"/>
  <c r="K131" i="22"/>
  <c r="L131" i="22"/>
  <c r="C132" i="22"/>
  <c r="D132" i="22"/>
  <c r="E132" i="22"/>
  <c r="F132" i="22"/>
  <c r="G132" i="22"/>
  <c r="H132" i="22"/>
  <c r="I132" i="22"/>
  <c r="J132" i="22"/>
  <c r="K132" i="22"/>
  <c r="L132" i="22"/>
  <c r="C133" i="22"/>
  <c r="D133" i="22"/>
  <c r="E133" i="22"/>
  <c r="F133" i="22"/>
  <c r="G133" i="22"/>
  <c r="H133" i="22"/>
  <c r="I133" i="22"/>
  <c r="J133" i="22"/>
  <c r="K133" i="22"/>
  <c r="L133" i="22"/>
  <c r="C134" i="22"/>
  <c r="D134" i="22"/>
  <c r="E134" i="22"/>
  <c r="F134" i="22"/>
  <c r="G134" i="22"/>
  <c r="H134" i="22"/>
  <c r="I134" i="22"/>
  <c r="J134" i="22"/>
  <c r="K134" i="22"/>
  <c r="L134" i="22"/>
  <c r="C135" i="22"/>
  <c r="D135" i="22"/>
  <c r="E135" i="22"/>
  <c r="F135" i="22"/>
  <c r="G135" i="22"/>
  <c r="H135" i="22"/>
  <c r="I135" i="22"/>
  <c r="J135" i="22"/>
  <c r="K135" i="22"/>
  <c r="L135" i="22"/>
  <c r="C136" i="22"/>
  <c r="D136" i="22"/>
  <c r="E136" i="22"/>
  <c r="F136" i="22"/>
  <c r="G136" i="22"/>
  <c r="H136" i="22"/>
  <c r="I136" i="22"/>
  <c r="J136" i="22"/>
  <c r="K136" i="22"/>
  <c r="L136" i="22"/>
  <c r="C137" i="22"/>
  <c r="D137" i="22"/>
  <c r="E137" i="22"/>
  <c r="F137" i="22"/>
  <c r="G137" i="22"/>
  <c r="H137" i="22"/>
  <c r="I137" i="22"/>
  <c r="J137" i="22"/>
  <c r="K137" i="22"/>
  <c r="L137" i="22"/>
  <c r="C138" i="22"/>
  <c r="D138" i="22"/>
  <c r="E138" i="22"/>
  <c r="F138" i="22"/>
  <c r="G138" i="22"/>
  <c r="H138" i="22"/>
  <c r="I138" i="22"/>
  <c r="J138" i="22"/>
  <c r="K138" i="22"/>
  <c r="L138" i="22"/>
  <c r="C139" i="22"/>
  <c r="D139" i="22"/>
  <c r="E139" i="22"/>
  <c r="F139" i="22"/>
  <c r="G139" i="22"/>
  <c r="H139" i="22"/>
  <c r="I139" i="22"/>
  <c r="J139" i="22"/>
  <c r="K139" i="22"/>
  <c r="L139" i="22"/>
  <c r="C140" i="22"/>
  <c r="D140" i="22"/>
  <c r="E140" i="22"/>
  <c r="F140" i="22"/>
  <c r="G140" i="22"/>
  <c r="H140" i="22"/>
  <c r="I140" i="22"/>
  <c r="J140" i="22"/>
  <c r="K140" i="22"/>
  <c r="L140" i="22"/>
  <c r="C141" i="22"/>
  <c r="D141" i="22"/>
  <c r="E141" i="22"/>
  <c r="F141" i="22"/>
  <c r="G141" i="22"/>
  <c r="H141" i="22"/>
  <c r="I141" i="22"/>
  <c r="J141" i="22"/>
  <c r="K141" i="22"/>
  <c r="L141" i="22"/>
  <c r="C142" i="22"/>
  <c r="D142" i="22"/>
  <c r="E142" i="22"/>
  <c r="F142" i="22"/>
  <c r="G142" i="22"/>
  <c r="H142" i="22"/>
  <c r="I142" i="22"/>
  <c r="J142" i="22"/>
  <c r="K142" i="22"/>
  <c r="L142" i="22"/>
  <c r="C143" i="22"/>
  <c r="D143" i="22"/>
  <c r="E143" i="22"/>
  <c r="F143" i="22"/>
  <c r="G143" i="22"/>
  <c r="H143" i="22"/>
  <c r="I143" i="22"/>
  <c r="J143" i="22"/>
  <c r="K143" i="22"/>
  <c r="L143" i="22"/>
  <c r="C144" i="22"/>
  <c r="D144" i="22"/>
  <c r="E144" i="22"/>
  <c r="F144" i="22"/>
  <c r="G144" i="22"/>
  <c r="H144" i="22"/>
  <c r="I144" i="22"/>
  <c r="J144" i="22"/>
  <c r="K144" i="22"/>
  <c r="L144" i="22"/>
  <c r="C145" i="22"/>
  <c r="D145" i="22"/>
  <c r="E145" i="22"/>
  <c r="F145" i="22"/>
  <c r="G145" i="22"/>
  <c r="H145" i="22"/>
  <c r="I145" i="22"/>
  <c r="J145" i="22"/>
  <c r="K145" i="22"/>
  <c r="L145" i="22"/>
  <c r="C2" i="25"/>
  <c r="D2" i="25"/>
  <c r="E2" i="25"/>
  <c r="F2" i="25"/>
  <c r="G2" i="25"/>
  <c r="H2" i="25"/>
  <c r="I2" i="25"/>
  <c r="J2" i="25"/>
  <c r="K2" i="25"/>
  <c r="L2" i="25"/>
  <c r="C5" i="25"/>
  <c r="D5" i="25"/>
  <c r="E5" i="25"/>
  <c r="F5" i="25"/>
  <c r="G5" i="25"/>
  <c r="H5" i="25"/>
  <c r="I5" i="25"/>
  <c r="J5" i="25"/>
  <c r="K5" i="25"/>
  <c r="L5" i="25"/>
  <c r="C7" i="25"/>
  <c r="D7" i="25"/>
  <c r="E7" i="25"/>
  <c r="F7" i="25"/>
  <c r="G7" i="25"/>
  <c r="H7" i="25"/>
  <c r="I7" i="25"/>
  <c r="J7" i="25"/>
  <c r="K7" i="25"/>
  <c r="L7" i="25"/>
  <c r="P7" i="25"/>
  <c r="Q7" i="25"/>
  <c r="R7" i="25"/>
  <c r="S7" i="25"/>
  <c r="T7" i="25"/>
  <c r="U7" i="25"/>
  <c r="V7" i="25"/>
  <c r="W7" i="25"/>
  <c r="X7" i="25"/>
  <c r="Y7" i="25"/>
  <c r="C9" i="25"/>
  <c r="D9" i="25"/>
  <c r="E9" i="25"/>
  <c r="F9" i="25"/>
  <c r="G9" i="25"/>
  <c r="H9" i="25"/>
  <c r="I9" i="25"/>
  <c r="J9" i="25"/>
  <c r="K9" i="25"/>
  <c r="L9" i="25"/>
  <c r="P9" i="25"/>
  <c r="Q9" i="25"/>
  <c r="R9" i="25"/>
  <c r="S9" i="25"/>
  <c r="T9" i="25"/>
  <c r="U9" i="25"/>
  <c r="V9" i="25"/>
  <c r="W9" i="25"/>
  <c r="X9" i="25"/>
  <c r="Y9" i="25"/>
  <c r="C10" i="25"/>
  <c r="D10" i="25"/>
  <c r="E10" i="25"/>
  <c r="F10" i="25"/>
  <c r="G10" i="25"/>
  <c r="H10" i="25"/>
  <c r="I10" i="25"/>
  <c r="J10" i="25"/>
  <c r="K10" i="25"/>
  <c r="L10" i="25"/>
  <c r="P10" i="25"/>
  <c r="Q10" i="25"/>
  <c r="R10" i="25"/>
  <c r="S10" i="25"/>
  <c r="T10" i="25"/>
  <c r="U10" i="25"/>
  <c r="V10" i="25"/>
  <c r="W10" i="25"/>
  <c r="X10" i="25"/>
  <c r="Y10" i="25"/>
  <c r="C11" i="25"/>
  <c r="D11" i="25"/>
  <c r="E11" i="25"/>
  <c r="F11" i="25"/>
  <c r="G11" i="25"/>
  <c r="H11" i="25"/>
  <c r="I11" i="25"/>
  <c r="J11" i="25"/>
  <c r="K11" i="25"/>
  <c r="L11" i="25"/>
  <c r="P11" i="25"/>
  <c r="Q11" i="25"/>
  <c r="R11" i="25"/>
  <c r="S11" i="25"/>
  <c r="T11" i="25"/>
  <c r="U11" i="25"/>
  <c r="V11" i="25"/>
  <c r="W11" i="25"/>
  <c r="X11" i="25"/>
  <c r="Y11" i="25"/>
  <c r="C12" i="25"/>
  <c r="D12" i="25"/>
  <c r="E12" i="25"/>
  <c r="F12" i="25"/>
  <c r="G12" i="25"/>
  <c r="H12" i="25"/>
  <c r="I12" i="25"/>
  <c r="J12" i="25"/>
  <c r="K12" i="25"/>
  <c r="L12" i="25"/>
  <c r="P12" i="25"/>
  <c r="Q12" i="25"/>
  <c r="R12" i="25"/>
  <c r="S12" i="25"/>
  <c r="T12" i="25"/>
  <c r="U12" i="25"/>
  <c r="V12" i="25"/>
  <c r="W12" i="25"/>
  <c r="X12" i="25"/>
  <c r="Y12" i="25"/>
  <c r="P13" i="25"/>
  <c r="Q13" i="25"/>
  <c r="R13" i="25"/>
  <c r="S13" i="25"/>
  <c r="T13" i="25"/>
  <c r="U13" i="25"/>
  <c r="V13" i="25"/>
  <c r="W13" i="25"/>
  <c r="X13" i="25"/>
  <c r="Y13" i="25"/>
  <c r="C14" i="25"/>
  <c r="D14" i="25"/>
  <c r="E14" i="25"/>
  <c r="F14" i="25"/>
  <c r="G14" i="25"/>
  <c r="H14" i="25"/>
  <c r="I14" i="25"/>
  <c r="J14" i="25"/>
  <c r="K14" i="25"/>
  <c r="L14" i="25"/>
  <c r="P14" i="25"/>
  <c r="Q14" i="25"/>
  <c r="R14" i="25"/>
  <c r="S14" i="25"/>
  <c r="T14" i="25"/>
  <c r="U14" i="25"/>
  <c r="V14" i="25"/>
  <c r="W14" i="25"/>
  <c r="X14" i="25"/>
  <c r="Y14" i="25"/>
  <c r="C15" i="25"/>
  <c r="D15" i="25"/>
  <c r="E15" i="25"/>
  <c r="F15" i="25"/>
  <c r="G15" i="25"/>
  <c r="H15" i="25"/>
  <c r="I15" i="25"/>
  <c r="J15" i="25"/>
  <c r="K15" i="25"/>
  <c r="L15" i="25"/>
  <c r="P15" i="25"/>
  <c r="Q15" i="25"/>
  <c r="R15" i="25"/>
  <c r="S15" i="25"/>
  <c r="T15" i="25"/>
  <c r="U15" i="25"/>
  <c r="V15" i="25"/>
  <c r="W15" i="25"/>
  <c r="X15" i="25"/>
  <c r="Y15" i="25"/>
  <c r="C16" i="25"/>
  <c r="D16" i="25"/>
  <c r="E16" i="25"/>
  <c r="F16" i="25"/>
  <c r="G16" i="25"/>
  <c r="H16" i="25"/>
  <c r="I16" i="25"/>
  <c r="J16" i="25"/>
  <c r="K16" i="25"/>
  <c r="L16" i="25"/>
  <c r="P16" i="25"/>
  <c r="Q16" i="25"/>
  <c r="R16" i="25"/>
  <c r="S16" i="25"/>
  <c r="T16" i="25"/>
  <c r="U16" i="25"/>
  <c r="V16" i="25"/>
  <c r="W16" i="25"/>
  <c r="X16" i="25"/>
  <c r="Y16" i="25"/>
  <c r="C17" i="25"/>
  <c r="D17" i="25"/>
  <c r="E17" i="25"/>
  <c r="F17" i="25"/>
  <c r="G17" i="25"/>
  <c r="H17" i="25"/>
  <c r="I17" i="25"/>
  <c r="J17" i="25"/>
  <c r="K17" i="25"/>
  <c r="L17" i="25"/>
  <c r="P17" i="25"/>
  <c r="Q17" i="25"/>
  <c r="R17" i="25"/>
  <c r="S17" i="25"/>
  <c r="T17" i="25"/>
  <c r="U17" i="25"/>
  <c r="V17" i="25"/>
  <c r="W17" i="25"/>
  <c r="X17" i="25"/>
  <c r="Y17" i="25"/>
  <c r="C18" i="25"/>
  <c r="D18" i="25"/>
  <c r="E18" i="25"/>
  <c r="F18" i="25"/>
  <c r="G18" i="25"/>
  <c r="H18" i="25"/>
  <c r="I18" i="25"/>
  <c r="J18" i="25"/>
  <c r="K18" i="25"/>
  <c r="L18" i="25"/>
  <c r="P18" i="25"/>
  <c r="Q18" i="25"/>
  <c r="R18" i="25"/>
  <c r="S18" i="25"/>
  <c r="T18" i="25"/>
  <c r="U18" i="25"/>
  <c r="V18" i="25"/>
  <c r="W18" i="25"/>
  <c r="X18" i="25"/>
  <c r="Y18" i="25"/>
  <c r="C21" i="25"/>
  <c r="D21" i="25"/>
  <c r="E21" i="25"/>
  <c r="F21" i="25"/>
  <c r="G21" i="25"/>
  <c r="H21" i="25"/>
  <c r="I21" i="25"/>
  <c r="J21" i="25"/>
  <c r="K21" i="25"/>
  <c r="L21" i="25"/>
  <c r="P21" i="25"/>
  <c r="Q21" i="25"/>
  <c r="R21" i="25"/>
  <c r="S21" i="25"/>
  <c r="T21" i="25"/>
  <c r="U21" i="25"/>
  <c r="V21" i="25"/>
  <c r="W21" i="25"/>
  <c r="X21" i="25"/>
  <c r="Y21" i="25"/>
  <c r="C30" i="25"/>
  <c r="D30" i="25"/>
  <c r="E30" i="25"/>
  <c r="F30" i="25"/>
  <c r="G30" i="25"/>
  <c r="H30" i="25"/>
  <c r="I30" i="25"/>
  <c r="J30" i="25"/>
  <c r="K30" i="25"/>
  <c r="L30" i="25"/>
  <c r="P30" i="25"/>
  <c r="Q30" i="25"/>
  <c r="R30" i="25"/>
  <c r="S30" i="25"/>
  <c r="T30" i="25"/>
  <c r="U30" i="25"/>
  <c r="V30" i="25"/>
  <c r="W30" i="25"/>
  <c r="X30" i="25"/>
  <c r="Y30" i="25"/>
  <c r="C34" i="25"/>
  <c r="D34" i="25"/>
  <c r="E34" i="25"/>
  <c r="F34" i="25"/>
  <c r="G34" i="25"/>
  <c r="H34" i="25"/>
  <c r="I34" i="25"/>
  <c r="J34" i="25"/>
  <c r="K34" i="25"/>
  <c r="L34" i="25"/>
  <c r="P34" i="25"/>
  <c r="Q34" i="25"/>
  <c r="R34" i="25"/>
  <c r="S34" i="25"/>
  <c r="T34" i="25"/>
  <c r="U34" i="25"/>
  <c r="V34" i="25"/>
  <c r="W34" i="25"/>
  <c r="X34" i="25"/>
  <c r="Y34" i="25"/>
  <c r="C35" i="25"/>
  <c r="D35" i="25"/>
  <c r="E35" i="25"/>
  <c r="F35" i="25"/>
  <c r="G35" i="25"/>
  <c r="H35" i="25"/>
  <c r="I35" i="25"/>
  <c r="J35" i="25"/>
  <c r="K35" i="25"/>
  <c r="L35" i="25"/>
  <c r="P35" i="25"/>
  <c r="Q35" i="25"/>
  <c r="R35" i="25"/>
  <c r="S35" i="25"/>
  <c r="T35" i="25"/>
  <c r="U35" i="25"/>
  <c r="V35" i="25"/>
  <c r="W35" i="25"/>
  <c r="X35" i="25"/>
  <c r="Y35" i="25"/>
  <c r="C40" i="25"/>
  <c r="D40" i="25"/>
  <c r="E40" i="25"/>
  <c r="F40" i="25"/>
  <c r="G40" i="25"/>
  <c r="H40" i="25"/>
  <c r="I40" i="25"/>
  <c r="J40" i="25"/>
  <c r="K40" i="25"/>
  <c r="L40" i="25"/>
  <c r="P40" i="25"/>
  <c r="Q40" i="25"/>
  <c r="R40" i="25"/>
  <c r="S40" i="25"/>
  <c r="T40" i="25"/>
  <c r="U40" i="25"/>
  <c r="V40" i="25"/>
  <c r="W40" i="25"/>
  <c r="X40" i="25"/>
  <c r="Y40" i="25"/>
  <c r="C47" i="25"/>
  <c r="D47" i="25"/>
  <c r="E47" i="25"/>
  <c r="F47" i="25"/>
  <c r="G47" i="25"/>
  <c r="H47" i="25"/>
  <c r="I47" i="25"/>
  <c r="J47" i="25"/>
  <c r="K47" i="25"/>
  <c r="L47" i="25"/>
  <c r="P47" i="25"/>
  <c r="Q47" i="25"/>
  <c r="R47" i="25"/>
  <c r="S47" i="25"/>
  <c r="T47" i="25"/>
  <c r="U47" i="25"/>
  <c r="V47" i="25"/>
  <c r="W47" i="25"/>
  <c r="X47" i="25"/>
  <c r="Y47" i="25"/>
  <c r="C48" i="25"/>
  <c r="D48" i="25"/>
  <c r="E48" i="25"/>
  <c r="F48" i="25"/>
  <c r="G48" i="25"/>
  <c r="H48" i="25"/>
  <c r="I48" i="25"/>
  <c r="J48" i="25"/>
  <c r="K48" i="25"/>
  <c r="L48" i="25"/>
  <c r="P48" i="25"/>
  <c r="Q48" i="25"/>
  <c r="R48" i="25"/>
  <c r="S48" i="25"/>
  <c r="T48" i="25"/>
  <c r="U48" i="25"/>
  <c r="V48" i="25"/>
  <c r="W48" i="25"/>
  <c r="X48" i="25"/>
  <c r="Y48" i="25"/>
  <c r="C55" i="25"/>
  <c r="D55" i="25"/>
  <c r="E55" i="25"/>
  <c r="F55" i="25"/>
  <c r="G55" i="25"/>
  <c r="H55" i="25"/>
  <c r="I55" i="25"/>
  <c r="J55" i="25"/>
  <c r="K55" i="25"/>
  <c r="L55" i="25"/>
  <c r="P55" i="25"/>
  <c r="Q55" i="25"/>
  <c r="R55" i="25"/>
  <c r="S55" i="25"/>
  <c r="T55" i="25"/>
  <c r="U55" i="25"/>
  <c r="V55" i="25"/>
  <c r="W55" i="25"/>
  <c r="X55" i="25"/>
  <c r="Y55" i="25"/>
  <c r="C57" i="25"/>
  <c r="D57" i="25"/>
  <c r="E57" i="25"/>
  <c r="F57" i="25"/>
  <c r="G57" i="25"/>
  <c r="H57" i="25"/>
  <c r="I57" i="25"/>
  <c r="J57" i="25"/>
  <c r="K57" i="25"/>
  <c r="L57" i="25"/>
  <c r="P57" i="25"/>
  <c r="Q57" i="25"/>
  <c r="R57" i="25"/>
  <c r="S57" i="25"/>
  <c r="T57" i="25"/>
  <c r="U57" i="25"/>
  <c r="V57" i="25"/>
  <c r="W57" i="25"/>
  <c r="X57" i="25"/>
  <c r="Y57" i="25"/>
  <c r="C60" i="25"/>
  <c r="D60" i="25"/>
  <c r="E60" i="25"/>
  <c r="F60" i="25"/>
  <c r="G60" i="25"/>
  <c r="H60" i="25"/>
  <c r="I60" i="25"/>
  <c r="J60" i="25"/>
  <c r="K60" i="25"/>
  <c r="L60" i="25"/>
  <c r="P60" i="25"/>
  <c r="Q60" i="25"/>
  <c r="R60" i="25"/>
  <c r="S60" i="25"/>
  <c r="T60" i="25"/>
  <c r="U60" i="25"/>
  <c r="V60" i="25"/>
  <c r="W60" i="25"/>
  <c r="X60" i="25"/>
  <c r="Y60" i="25"/>
  <c r="C65" i="25"/>
  <c r="D65" i="25"/>
  <c r="E65" i="25"/>
  <c r="F65" i="25"/>
  <c r="G65" i="25"/>
  <c r="H65" i="25"/>
  <c r="I65" i="25"/>
  <c r="J65" i="25"/>
  <c r="K65" i="25"/>
  <c r="L65" i="25"/>
  <c r="P65" i="25"/>
  <c r="Q65" i="25"/>
  <c r="R65" i="25"/>
  <c r="S65" i="25"/>
  <c r="T65" i="25"/>
  <c r="U65" i="25"/>
  <c r="V65" i="25"/>
  <c r="W65" i="25"/>
  <c r="X65" i="25"/>
  <c r="Y65" i="25"/>
  <c r="C66" i="25"/>
  <c r="D66" i="25"/>
  <c r="E66" i="25"/>
  <c r="F66" i="25"/>
  <c r="G66" i="25"/>
  <c r="H66" i="25"/>
  <c r="I66" i="25"/>
  <c r="J66" i="25"/>
  <c r="K66" i="25"/>
  <c r="L66" i="25"/>
  <c r="P66" i="25"/>
  <c r="Q66" i="25"/>
  <c r="R66" i="25"/>
  <c r="S66" i="25"/>
  <c r="T66" i="25"/>
  <c r="U66" i="25"/>
  <c r="V66" i="25"/>
  <c r="W66" i="25"/>
  <c r="X66" i="25"/>
  <c r="Y66" i="25"/>
  <c r="C67" i="25"/>
  <c r="D67" i="25"/>
  <c r="E67" i="25"/>
  <c r="F67" i="25"/>
  <c r="G67" i="25"/>
  <c r="H67" i="25"/>
  <c r="I67" i="25"/>
  <c r="J67" i="25"/>
  <c r="K67" i="25"/>
  <c r="L67" i="25"/>
  <c r="P67" i="25"/>
  <c r="Q67" i="25"/>
  <c r="R67" i="25"/>
  <c r="S67" i="25"/>
  <c r="T67" i="25"/>
  <c r="U67" i="25"/>
  <c r="V67" i="25"/>
  <c r="W67" i="25"/>
  <c r="X67" i="25"/>
  <c r="Y67" i="25"/>
  <c r="C68" i="25"/>
  <c r="D68" i="25"/>
  <c r="E68" i="25"/>
  <c r="F68" i="25"/>
  <c r="G68" i="25"/>
  <c r="H68" i="25"/>
  <c r="I68" i="25"/>
  <c r="J68" i="25"/>
  <c r="K68" i="25"/>
  <c r="L68" i="25"/>
  <c r="P68" i="25"/>
  <c r="Q68" i="25"/>
  <c r="R68" i="25"/>
  <c r="S68" i="25"/>
  <c r="T68" i="25"/>
  <c r="U68" i="25"/>
  <c r="V68" i="25"/>
  <c r="W68" i="25"/>
  <c r="X68" i="25"/>
  <c r="Y68" i="25"/>
  <c r="C69" i="25"/>
  <c r="D69" i="25"/>
  <c r="E69" i="25"/>
  <c r="F69" i="25"/>
  <c r="G69" i="25"/>
  <c r="H69" i="25"/>
  <c r="I69" i="25"/>
  <c r="J69" i="25"/>
  <c r="K69" i="25"/>
  <c r="L69" i="25"/>
  <c r="P69" i="25"/>
  <c r="Q69" i="25"/>
  <c r="R69" i="25"/>
  <c r="S69" i="25"/>
  <c r="T69" i="25"/>
  <c r="U69" i="25"/>
  <c r="V69" i="25"/>
  <c r="W69" i="25"/>
  <c r="X69" i="25"/>
  <c r="Y69" i="25"/>
  <c r="C70" i="25"/>
  <c r="D70" i="25"/>
  <c r="E70" i="25"/>
  <c r="F70" i="25"/>
  <c r="G70" i="25"/>
  <c r="H70" i="25"/>
  <c r="I70" i="25"/>
  <c r="J70" i="25"/>
  <c r="K70" i="25"/>
  <c r="L70" i="25"/>
  <c r="P70" i="25"/>
  <c r="Q70" i="25"/>
  <c r="R70" i="25"/>
  <c r="S70" i="25"/>
  <c r="T70" i="25"/>
  <c r="U70" i="25"/>
  <c r="V70" i="25"/>
  <c r="W70" i="25"/>
  <c r="X70" i="25"/>
  <c r="Y70" i="25"/>
  <c r="C71" i="25"/>
  <c r="D71" i="25"/>
  <c r="E71" i="25"/>
  <c r="F71" i="25"/>
  <c r="G71" i="25"/>
  <c r="H71" i="25"/>
  <c r="I71" i="25"/>
  <c r="J71" i="25"/>
  <c r="K71" i="25"/>
  <c r="L71" i="25"/>
  <c r="P71" i="25"/>
  <c r="Q71" i="25"/>
  <c r="R71" i="25"/>
  <c r="S71" i="25"/>
  <c r="T71" i="25"/>
  <c r="U71" i="25"/>
  <c r="V71" i="25"/>
  <c r="W71" i="25"/>
  <c r="X71" i="25"/>
  <c r="Y71" i="25"/>
  <c r="C73" i="25"/>
  <c r="D73" i="25"/>
  <c r="E73" i="25"/>
  <c r="F73" i="25"/>
  <c r="G73" i="25"/>
  <c r="H73" i="25"/>
  <c r="I73" i="25"/>
  <c r="J73" i="25"/>
  <c r="K73" i="25"/>
  <c r="L73" i="25"/>
  <c r="P73" i="25"/>
  <c r="Q73" i="25"/>
  <c r="R73" i="25"/>
  <c r="S73" i="25"/>
  <c r="T73" i="25"/>
  <c r="U73" i="25"/>
  <c r="V73" i="25"/>
  <c r="W73" i="25"/>
  <c r="X73" i="25"/>
  <c r="Y73" i="25"/>
  <c r="C74" i="25"/>
  <c r="D74" i="25"/>
  <c r="E74" i="25"/>
  <c r="F74" i="25"/>
  <c r="G74" i="25"/>
  <c r="H74" i="25"/>
  <c r="I74" i="25"/>
  <c r="J74" i="25"/>
  <c r="K74" i="25"/>
  <c r="L74" i="25"/>
  <c r="P74" i="25"/>
  <c r="Q74" i="25"/>
  <c r="R74" i="25"/>
  <c r="S74" i="25"/>
  <c r="T74" i="25"/>
  <c r="U74" i="25"/>
  <c r="V74" i="25"/>
  <c r="W74" i="25"/>
  <c r="X74" i="25"/>
  <c r="Y74" i="25"/>
  <c r="C75" i="25"/>
  <c r="D75" i="25"/>
  <c r="E75" i="25"/>
  <c r="F75" i="25"/>
  <c r="G75" i="25"/>
  <c r="H75" i="25"/>
  <c r="I75" i="25"/>
  <c r="J75" i="25"/>
  <c r="K75" i="25"/>
  <c r="L75" i="25"/>
  <c r="P75" i="25"/>
  <c r="Q75" i="25"/>
  <c r="R75" i="25"/>
  <c r="S75" i="25"/>
  <c r="T75" i="25"/>
  <c r="U75" i="25"/>
  <c r="V75" i="25"/>
  <c r="W75" i="25"/>
  <c r="X75" i="25"/>
  <c r="Y75" i="25"/>
  <c r="C79" i="25"/>
  <c r="D79" i="25"/>
  <c r="E79" i="25"/>
  <c r="F79" i="25"/>
  <c r="G79" i="25"/>
  <c r="H79" i="25"/>
  <c r="I79" i="25"/>
  <c r="J79" i="25"/>
  <c r="K79" i="25"/>
  <c r="L79" i="25"/>
  <c r="P79" i="25"/>
  <c r="Q79" i="25"/>
  <c r="R79" i="25"/>
  <c r="S79" i="25"/>
  <c r="T79" i="25"/>
  <c r="U79" i="25"/>
  <c r="V79" i="25"/>
  <c r="W79" i="25"/>
  <c r="X79" i="25"/>
  <c r="Y79" i="25"/>
  <c r="C80" i="25"/>
  <c r="D80" i="25"/>
  <c r="E80" i="25"/>
  <c r="F80" i="25"/>
  <c r="G80" i="25"/>
  <c r="H80" i="25"/>
  <c r="I80" i="25"/>
  <c r="J80" i="25"/>
  <c r="K80" i="25"/>
  <c r="L80" i="25"/>
  <c r="P80" i="25"/>
  <c r="Q80" i="25"/>
  <c r="R80" i="25"/>
  <c r="S80" i="25"/>
  <c r="T80" i="25"/>
  <c r="U80" i="25"/>
  <c r="V80" i="25"/>
  <c r="W80" i="25"/>
  <c r="X80" i="25"/>
  <c r="Y80" i="25"/>
  <c r="C83" i="25"/>
  <c r="D83" i="25"/>
  <c r="E83" i="25"/>
  <c r="F83" i="25"/>
  <c r="G83" i="25"/>
  <c r="H83" i="25"/>
  <c r="I83" i="25"/>
  <c r="J83" i="25"/>
  <c r="K83" i="25"/>
  <c r="L83" i="25"/>
  <c r="P83" i="25"/>
  <c r="Q83" i="25"/>
  <c r="R83" i="25"/>
  <c r="S83" i="25"/>
  <c r="T83" i="25"/>
  <c r="U83" i="25"/>
  <c r="V83" i="25"/>
  <c r="W83" i="25"/>
  <c r="X83" i="25"/>
  <c r="Y83" i="25"/>
  <c r="C84" i="25"/>
  <c r="D84" i="25"/>
  <c r="E84" i="25"/>
  <c r="F84" i="25"/>
  <c r="G84" i="25"/>
  <c r="H84" i="25"/>
  <c r="I84" i="25"/>
  <c r="J84" i="25"/>
  <c r="K84" i="25"/>
  <c r="L84" i="25"/>
  <c r="P84" i="25"/>
  <c r="Q84" i="25"/>
  <c r="R84" i="25"/>
  <c r="S84" i="25"/>
  <c r="T84" i="25"/>
  <c r="U84" i="25"/>
  <c r="V84" i="25"/>
  <c r="W84" i="25"/>
  <c r="X84" i="25"/>
  <c r="Y84" i="25"/>
  <c r="C89" i="25"/>
  <c r="D89" i="25"/>
  <c r="E89" i="25"/>
  <c r="F89" i="25"/>
  <c r="G89" i="25"/>
  <c r="H89" i="25"/>
  <c r="I89" i="25"/>
  <c r="J89" i="25"/>
  <c r="K89" i="25"/>
  <c r="L89" i="25"/>
  <c r="C90" i="25"/>
  <c r="D90" i="25"/>
  <c r="E90" i="25"/>
  <c r="F90" i="25"/>
  <c r="G90" i="25"/>
  <c r="H90" i="25"/>
  <c r="I90" i="25"/>
  <c r="J90" i="25"/>
  <c r="K90" i="25"/>
  <c r="L90" i="25"/>
  <c r="C91" i="25"/>
  <c r="D91" i="25"/>
  <c r="E91" i="25"/>
  <c r="F91" i="25"/>
  <c r="G91" i="25"/>
  <c r="H91" i="25"/>
  <c r="I91" i="25"/>
  <c r="J91" i="25"/>
  <c r="K91" i="25"/>
  <c r="L91" i="25"/>
  <c r="C92" i="25"/>
  <c r="D92" i="25"/>
  <c r="E92" i="25"/>
  <c r="F92" i="25"/>
  <c r="G92" i="25"/>
  <c r="H92" i="25"/>
  <c r="I92" i="25"/>
  <c r="J92" i="25"/>
  <c r="K92" i="25"/>
  <c r="L92" i="25"/>
  <c r="C93" i="25"/>
  <c r="D93" i="25"/>
  <c r="E93" i="25"/>
  <c r="F93" i="25"/>
  <c r="G93" i="25"/>
  <c r="H93" i="25"/>
  <c r="I93" i="25"/>
  <c r="J93" i="25"/>
  <c r="K93" i="25"/>
  <c r="L93" i="25"/>
  <c r="C94" i="25"/>
  <c r="D94" i="25"/>
  <c r="E94" i="25"/>
  <c r="F94" i="25"/>
  <c r="G94" i="25"/>
  <c r="H94" i="25"/>
  <c r="I94" i="25"/>
  <c r="J94" i="25"/>
  <c r="K94" i="25"/>
  <c r="L94" i="25"/>
  <c r="F9" i="1"/>
  <c r="G9" i="1"/>
  <c r="H9" i="1"/>
  <c r="I9" i="1"/>
  <c r="J9" i="1"/>
  <c r="K9" i="1"/>
  <c r="L9" i="1"/>
  <c r="M9" i="1"/>
  <c r="N9" i="1"/>
  <c r="O9" i="1"/>
  <c r="F10" i="1"/>
  <c r="G10" i="1"/>
  <c r="H10" i="1"/>
  <c r="I10" i="1"/>
  <c r="J10" i="1"/>
  <c r="K10" i="1"/>
  <c r="L10" i="1"/>
  <c r="M10" i="1"/>
  <c r="N10" i="1"/>
  <c r="O10" i="1"/>
  <c r="F11" i="1"/>
  <c r="G11" i="1"/>
  <c r="H11" i="1"/>
  <c r="I11" i="1"/>
  <c r="J11" i="1"/>
  <c r="K11" i="1"/>
  <c r="L11" i="1"/>
  <c r="M11" i="1"/>
  <c r="N11" i="1"/>
  <c r="O11" i="1"/>
  <c r="F12" i="1"/>
  <c r="G12" i="1"/>
  <c r="H12" i="1"/>
  <c r="I12" i="1"/>
  <c r="J12" i="1"/>
  <c r="K12" i="1"/>
  <c r="L12" i="1"/>
  <c r="M12" i="1"/>
  <c r="N12" i="1"/>
  <c r="O12" i="1"/>
  <c r="F13" i="1"/>
  <c r="G13" i="1"/>
  <c r="H13" i="1"/>
  <c r="I13" i="1"/>
  <c r="J13" i="1"/>
  <c r="K13" i="1"/>
  <c r="L13" i="1"/>
  <c r="M13" i="1"/>
  <c r="N13" i="1"/>
  <c r="O13" i="1"/>
  <c r="F17" i="1"/>
  <c r="G17" i="1"/>
  <c r="H17" i="1"/>
  <c r="I17" i="1"/>
  <c r="J17" i="1"/>
  <c r="K17" i="1"/>
  <c r="L17" i="1"/>
  <c r="M17" i="1"/>
  <c r="N17" i="1"/>
  <c r="O17" i="1"/>
  <c r="F18" i="1"/>
  <c r="G18" i="1"/>
  <c r="H18" i="1"/>
  <c r="I18" i="1"/>
  <c r="J18" i="1"/>
  <c r="K18" i="1"/>
  <c r="L18" i="1"/>
  <c r="M18" i="1"/>
  <c r="N18" i="1"/>
  <c r="O18" i="1"/>
  <c r="F19" i="1"/>
  <c r="G19" i="1"/>
  <c r="H19" i="1"/>
  <c r="I19" i="1"/>
  <c r="J19" i="1"/>
  <c r="K19" i="1"/>
  <c r="L19" i="1"/>
  <c r="M19" i="1"/>
  <c r="N19" i="1"/>
  <c r="O19" i="1"/>
  <c r="F20" i="1"/>
  <c r="G20" i="1"/>
  <c r="H20" i="1"/>
  <c r="I20" i="1"/>
  <c r="J20" i="1"/>
  <c r="K20" i="1"/>
  <c r="L20" i="1"/>
  <c r="M20" i="1"/>
  <c r="N20" i="1"/>
  <c r="O20" i="1"/>
  <c r="F21" i="1"/>
  <c r="G21" i="1"/>
  <c r="H21" i="1"/>
  <c r="I21" i="1"/>
  <c r="J21" i="1"/>
  <c r="K21" i="1"/>
  <c r="L21" i="1"/>
  <c r="M21" i="1"/>
  <c r="N21" i="1"/>
  <c r="O21" i="1"/>
  <c r="F23" i="1"/>
  <c r="G23" i="1"/>
  <c r="H23" i="1"/>
  <c r="I23" i="1"/>
  <c r="J23" i="1"/>
  <c r="K23" i="1"/>
  <c r="L23" i="1"/>
  <c r="M23" i="1"/>
  <c r="N23" i="1"/>
  <c r="O23" i="1"/>
  <c r="F24" i="1"/>
  <c r="G24" i="1"/>
  <c r="H24" i="1"/>
  <c r="I24" i="1"/>
  <c r="J24" i="1"/>
  <c r="K24" i="1"/>
  <c r="L24" i="1"/>
  <c r="M24" i="1"/>
  <c r="N24" i="1"/>
  <c r="O24" i="1"/>
  <c r="F25" i="1"/>
  <c r="G25" i="1"/>
  <c r="H25" i="1"/>
  <c r="I25" i="1"/>
  <c r="J25" i="1"/>
  <c r="K25" i="1"/>
  <c r="L25" i="1"/>
  <c r="M25" i="1"/>
  <c r="N25" i="1"/>
  <c r="O25" i="1"/>
  <c r="F26" i="1"/>
  <c r="G26" i="1"/>
  <c r="H26" i="1"/>
  <c r="I26" i="1"/>
  <c r="J26" i="1"/>
  <c r="K26" i="1"/>
  <c r="L26" i="1"/>
  <c r="M26" i="1"/>
  <c r="N26" i="1"/>
  <c r="O26" i="1"/>
  <c r="F27" i="1"/>
  <c r="G27" i="1"/>
  <c r="H27" i="1"/>
  <c r="I27" i="1"/>
  <c r="J27" i="1"/>
  <c r="K27" i="1"/>
  <c r="L27" i="1"/>
  <c r="M27" i="1"/>
  <c r="N27" i="1"/>
  <c r="O27" i="1"/>
  <c r="F28" i="1"/>
  <c r="G28" i="1"/>
  <c r="H28" i="1"/>
  <c r="I28" i="1"/>
  <c r="J28" i="1"/>
  <c r="K28" i="1"/>
  <c r="L28" i="1"/>
  <c r="M28" i="1"/>
  <c r="N28" i="1"/>
  <c r="O28" i="1"/>
  <c r="F29" i="1"/>
  <c r="G29" i="1"/>
  <c r="H29" i="1"/>
  <c r="I29" i="1"/>
  <c r="J29" i="1"/>
  <c r="K29" i="1"/>
  <c r="L29" i="1"/>
  <c r="M29" i="1"/>
  <c r="N29" i="1"/>
  <c r="O29" i="1"/>
  <c r="F30" i="1"/>
  <c r="G30" i="1"/>
  <c r="H30" i="1"/>
  <c r="I30" i="1"/>
  <c r="J30" i="1"/>
  <c r="K30" i="1"/>
  <c r="L30" i="1"/>
  <c r="M30" i="1"/>
  <c r="N30" i="1"/>
  <c r="O30" i="1"/>
  <c r="F31" i="1"/>
  <c r="G31" i="1"/>
  <c r="H31" i="1"/>
  <c r="I31" i="1"/>
  <c r="J31" i="1"/>
  <c r="K31" i="1"/>
  <c r="L31" i="1"/>
  <c r="M31" i="1"/>
  <c r="N31" i="1"/>
  <c r="O31" i="1"/>
  <c r="F34" i="1"/>
  <c r="G34" i="1"/>
  <c r="H34" i="1"/>
  <c r="I34" i="1"/>
  <c r="J34" i="1"/>
  <c r="K34" i="1"/>
  <c r="L34" i="1"/>
  <c r="M34" i="1"/>
  <c r="N34" i="1"/>
  <c r="O34" i="1"/>
  <c r="F35" i="1"/>
  <c r="G35" i="1"/>
  <c r="H35" i="1"/>
  <c r="I35" i="1"/>
  <c r="J35" i="1"/>
  <c r="K35" i="1"/>
  <c r="L35" i="1"/>
  <c r="M35" i="1"/>
  <c r="N35" i="1"/>
  <c r="O35" i="1"/>
  <c r="F36" i="1"/>
  <c r="G36" i="1"/>
  <c r="H36" i="1"/>
  <c r="I36" i="1"/>
  <c r="J36" i="1"/>
  <c r="K36" i="1"/>
  <c r="L36" i="1"/>
  <c r="M36" i="1"/>
  <c r="N36" i="1"/>
  <c r="O36" i="1"/>
  <c r="F37" i="1"/>
  <c r="G37" i="1"/>
  <c r="H37" i="1"/>
  <c r="I37" i="1"/>
  <c r="J37" i="1"/>
  <c r="K37" i="1"/>
  <c r="L37" i="1"/>
  <c r="M37" i="1"/>
  <c r="N37" i="1"/>
  <c r="O37" i="1"/>
  <c r="F39" i="1"/>
  <c r="G39" i="1"/>
  <c r="H39" i="1"/>
  <c r="I39" i="1"/>
  <c r="J39" i="1"/>
  <c r="K39" i="1"/>
  <c r="L39" i="1"/>
  <c r="M39" i="1"/>
  <c r="N39" i="1"/>
  <c r="O39" i="1"/>
  <c r="F40" i="1"/>
  <c r="G40" i="1"/>
  <c r="H40" i="1"/>
  <c r="I40" i="1"/>
  <c r="J40" i="1"/>
  <c r="K40" i="1"/>
  <c r="L40" i="1"/>
  <c r="M40" i="1"/>
  <c r="N40" i="1"/>
  <c r="O40" i="1"/>
  <c r="F41" i="1"/>
  <c r="G41" i="1"/>
  <c r="H41" i="1"/>
  <c r="I41" i="1"/>
  <c r="J41" i="1"/>
  <c r="K41" i="1"/>
  <c r="L41" i="1"/>
  <c r="M41" i="1"/>
  <c r="N41" i="1"/>
  <c r="O41" i="1"/>
  <c r="F42" i="1"/>
  <c r="G42" i="1"/>
  <c r="H42" i="1"/>
  <c r="I42" i="1"/>
  <c r="J42" i="1"/>
  <c r="K42" i="1"/>
  <c r="L42" i="1"/>
  <c r="M42" i="1"/>
  <c r="N42" i="1"/>
  <c r="O42" i="1"/>
  <c r="F43" i="1"/>
  <c r="G43" i="1"/>
  <c r="H43" i="1"/>
  <c r="I43" i="1"/>
  <c r="J43" i="1"/>
  <c r="K43" i="1"/>
  <c r="L43" i="1"/>
  <c r="M43" i="1"/>
  <c r="N43" i="1"/>
  <c r="O43" i="1"/>
  <c r="F44" i="1"/>
  <c r="G44" i="1"/>
  <c r="H44" i="1"/>
  <c r="I44" i="1"/>
  <c r="J44" i="1"/>
  <c r="K44" i="1"/>
  <c r="L44" i="1"/>
  <c r="M44" i="1"/>
  <c r="N44" i="1"/>
  <c r="O44" i="1"/>
  <c r="F45" i="1"/>
  <c r="G45" i="1"/>
  <c r="H45" i="1"/>
  <c r="I45" i="1"/>
  <c r="J45" i="1"/>
  <c r="K45" i="1"/>
  <c r="L45" i="1"/>
  <c r="M45" i="1"/>
  <c r="N45" i="1"/>
  <c r="O45" i="1"/>
  <c r="F50" i="1"/>
  <c r="G50" i="1"/>
  <c r="H50" i="1"/>
  <c r="I50" i="1"/>
  <c r="J50" i="1"/>
  <c r="K50" i="1"/>
  <c r="L50" i="1"/>
  <c r="M50" i="1"/>
  <c r="N50" i="1"/>
  <c r="O50" i="1"/>
  <c r="F51" i="1"/>
  <c r="G51" i="1"/>
  <c r="H51" i="1"/>
  <c r="I51" i="1"/>
  <c r="J51" i="1"/>
  <c r="K51" i="1"/>
  <c r="L51" i="1"/>
  <c r="M51" i="1"/>
  <c r="N51" i="1"/>
  <c r="O51" i="1"/>
  <c r="F54" i="1"/>
  <c r="G54" i="1"/>
  <c r="H54" i="1"/>
  <c r="I54" i="1"/>
  <c r="J54" i="1"/>
  <c r="K54" i="1"/>
  <c r="L54" i="1"/>
  <c r="M54" i="1"/>
  <c r="N54" i="1"/>
  <c r="O54" i="1"/>
  <c r="F55" i="1"/>
  <c r="G55" i="1"/>
  <c r="H55" i="1"/>
  <c r="I55" i="1"/>
  <c r="J55" i="1"/>
  <c r="K55" i="1"/>
  <c r="L55" i="1"/>
  <c r="M55" i="1"/>
  <c r="N55" i="1"/>
  <c r="O55" i="1"/>
  <c r="F56" i="1"/>
  <c r="G56" i="1"/>
  <c r="H56" i="1"/>
  <c r="I56" i="1"/>
  <c r="J56" i="1"/>
  <c r="K56" i="1"/>
  <c r="L56" i="1"/>
  <c r="M56" i="1"/>
  <c r="N56" i="1"/>
  <c r="O56" i="1"/>
  <c r="F57" i="1"/>
  <c r="G57" i="1"/>
  <c r="H57" i="1"/>
  <c r="I57" i="1"/>
  <c r="J57" i="1"/>
  <c r="K57" i="1"/>
  <c r="L57" i="1"/>
  <c r="M57" i="1"/>
  <c r="N57" i="1"/>
  <c r="O57" i="1"/>
  <c r="F59" i="1"/>
  <c r="G59" i="1"/>
  <c r="H59" i="1"/>
  <c r="I59" i="1"/>
  <c r="J59" i="1"/>
  <c r="K59" i="1"/>
  <c r="L59" i="1"/>
  <c r="M59" i="1"/>
  <c r="N59" i="1"/>
  <c r="O59" i="1"/>
  <c r="F60" i="1"/>
  <c r="G60" i="1"/>
  <c r="H60" i="1"/>
  <c r="I60" i="1"/>
  <c r="J60" i="1"/>
  <c r="K60" i="1"/>
  <c r="L60" i="1"/>
  <c r="M60" i="1"/>
  <c r="N60" i="1"/>
  <c r="O60" i="1"/>
  <c r="F61" i="1"/>
  <c r="G61" i="1"/>
  <c r="H61" i="1"/>
  <c r="I61" i="1"/>
  <c r="J61" i="1"/>
  <c r="K61" i="1"/>
  <c r="L61" i="1"/>
  <c r="M61" i="1"/>
  <c r="N61" i="1"/>
  <c r="O61" i="1"/>
  <c r="F62" i="1"/>
  <c r="G62" i="1"/>
  <c r="H62" i="1"/>
  <c r="I62" i="1"/>
  <c r="J62" i="1"/>
  <c r="K62" i="1"/>
  <c r="L62" i="1"/>
  <c r="M62" i="1"/>
  <c r="N62" i="1"/>
  <c r="O62" i="1"/>
  <c r="F63" i="1"/>
  <c r="G63" i="1"/>
  <c r="H63" i="1"/>
  <c r="I63" i="1"/>
  <c r="J63" i="1"/>
  <c r="K63" i="1"/>
  <c r="L63" i="1"/>
  <c r="M63" i="1"/>
  <c r="N63" i="1"/>
  <c r="O63" i="1"/>
  <c r="F64" i="1"/>
  <c r="G64" i="1"/>
  <c r="H64" i="1"/>
  <c r="I64" i="1"/>
  <c r="J64" i="1"/>
  <c r="K64" i="1"/>
  <c r="L64" i="1"/>
  <c r="M64" i="1"/>
  <c r="N64" i="1"/>
  <c r="O64" i="1"/>
  <c r="F67" i="1"/>
  <c r="G67" i="1"/>
  <c r="H67" i="1"/>
  <c r="I67" i="1"/>
  <c r="J67" i="1"/>
  <c r="K67" i="1"/>
  <c r="L67" i="1"/>
  <c r="M67" i="1"/>
  <c r="N67" i="1"/>
  <c r="O67" i="1"/>
  <c r="F68" i="1"/>
  <c r="G68" i="1"/>
  <c r="H68" i="1"/>
  <c r="I68" i="1"/>
  <c r="J68" i="1"/>
  <c r="K68" i="1"/>
  <c r="L68" i="1"/>
  <c r="M68" i="1"/>
  <c r="N68" i="1"/>
  <c r="O68" i="1"/>
  <c r="F69" i="1"/>
  <c r="G69" i="1"/>
  <c r="H69" i="1"/>
  <c r="I69" i="1"/>
  <c r="J69" i="1"/>
  <c r="K69" i="1"/>
  <c r="L69" i="1"/>
  <c r="M69" i="1"/>
  <c r="N69" i="1"/>
  <c r="O69" i="1"/>
  <c r="F72" i="1"/>
  <c r="G72" i="1"/>
  <c r="H72" i="1"/>
  <c r="I72" i="1"/>
  <c r="J72" i="1"/>
  <c r="K72" i="1"/>
  <c r="L72" i="1"/>
  <c r="M72" i="1"/>
  <c r="N72" i="1"/>
  <c r="O72" i="1"/>
  <c r="F73" i="1"/>
  <c r="G73" i="1"/>
  <c r="H73" i="1"/>
  <c r="I73" i="1"/>
  <c r="J73" i="1"/>
  <c r="K73" i="1"/>
  <c r="L73" i="1"/>
  <c r="M73" i="1"/>
  <c r="N73" i="1"/>
  <c r="O73" i="1"/>
  <c r="F74" i="1"/>
  <c r="G74" i="1"/>
  <c r="H74" i="1"/>
  <c r="I74" i="1"/>
  <c r="J74" i="1"/>
  <c r="K74" i="1"/>
  <c r="L74" i="1"/>
  <c r="M74" i="1"/>
  <c r="N74" i="1"/>
  <c r="O74" i="1"/>
  <c r="F75" i="1"/>
  <c r="G75" i="1"/>
  <c r="H75" i="1"/>
  <c r="I75" i="1"/>
  <c r="J75" i="1"/>
  <c r="K75" i="1"/>
  <c r="L75" i="1"/>
  <c r="M75" i="1"/>
  <c r="N75" i="1"/>
  <c r="O75" i="1"/>
  <c r="F77" i="1"/>
  <c r="G77" i="1"/>
  <c r="H77" i="1"/>
  <c r="I77" i="1"/>
  <c r="J77" i="1"/>
  <c r="K77" i="1"/>
  <c r="L77" i="1"/>
  <c r="M77" i="1"/>
  <c r="N77" i="1"/>
  <c r="O77" i="1"/>
  <c r="F78" i="1"/>
  <c r="G78" i="1"/>
  <c r="H78" i="1"/>
  <c r="I78" i="1"/>
  <c r="J78" i="1"/>
  <c r="K78" i="1"/>
  <c r="L78" i="1"/>
  <c r="M78" i="1"/>
  <c r="N78" i="1"/>
  <c r="O78" i="1"/>
  <c r="F79" i="1"/>
  <c r="G79" i="1"/>
  <c r="H79" i="1"/>
  <c r="I79" i="1"/>
  <c r="J79" i="1"/>
  <c r="K79" i="1"/>
  <c r="L79" i="1"/>
  <c r="M79" i="1"/>
  <c r="N79" i="1"/>
  <c r="O79" i="1"/>
  <c r="F80" i="1"/>
  <c r="G80" i="1"/>
  <c r="H80" i="1"/>
  <c r="I80" i="1"/>
  <c r="J80" i="1"/>
  <c r="K80" i="1"/>
  <c r="L80" i="1"/>
  <c r="M80" i="1"/>
  <c r="N80" i="1"/>
  <c r="O80" i="1"/>
  <c r="F81" i="1"/>
  <c r="G81" i="1"/>
  <c r="H81" i="1"/>
  <c r="I81" i="1"/>
  <c r="J81" i="1"/>
  <c r="K81" i="1"/>
  <c r="L81" i="1"/>
  <c r="M81" i="1"/>
  <c r="N81" i="1"/>
  <c r="O81" i="1"/>
  <c r="F82" i="1"/>
  <c r="G82" i="1"/>
  <c r="H82" i="1"/>
  <c r="I82" i="1"/>
  <c r="J82" i="1"/>
  <c r="K82" i="1"/>
  <c r="L82" i="1"/>
  <c r="M82" i="1"/>
  <c r="N82" i="1"/>
  <c r="O82" i="1"/>
  <c r="F83" i="1"/>
  <c r="G83" i="1"/>
  <c r="H83" i="1"/>
  <c r="I83" i="1"/>
  <c r="J83" i="1"/>
  <c r="K83" i="1"/>
  <c r="L83" i="1"/>
  <c r="M83" i="1"/>
  <c r="N83" i="1"/>
  <c r="O83" i="1"/>
  <c r="F84" i="1"/>
  <c r="G84" i="1"/>
  <c r="H84" i="1"/>
  <c r="I84" i="1"/>
  <c r="J84" i="1"/>
  <c r="K84" i="1"/>
  <c r="L84" i="1"/>
  <c r="M84" i="1"/>
  <c r="N84" i="1"/>
  <c r="O84" i="1"/>
  <c r="F85" i="1"/>
  <c r="G85" i="1"/>
  <c r="H85" i="1"/>
  <c r="I85" i="1"/>
  <c r="J85" i="1"/>
  <c r="K85" i="1"/>
  <c r="L85" i="1"/>
  <c r="M85" i="1"/>
  <c r="N85" i="1"/>
  <c r="O85" i="1"/>
  <c r="F86" i="1"/>
  <c r="G86" i="1"/>
  <c r="H86" i="1"/>
  <c r="I86" i="1"/>
  <c r="J86" i="1"/>
  <c r="K86" i="1"/>
  <c r="L86" i="1"/>
  <c r="M86" i="1"/>
  <c r="N86" i="1"/>
  <c r="O86" i="1"/>
  <c r="F87" i="1"/>
  <c r="G87" i="1"/>
  <c r="H87" i="1"/>
  <c r="I87" i="1"/>
  <c r="J87" i="1"/>
  <c r="K87" i="1"/>
  <c r="L87" i="1"/>
  <c r="M87" i="1"/>
  <c r="N87" i="1"/>
  <c r="O87" i="1"/>
  <c r="F88" i="1"/>
  <c r="G88" i="1"/>
  <c r="H88" i="1"/>
  <c r="I88" i="1"/>
  <c r="J88" i="1"/>
  <c r="K88" i="1"/>
  <c r="L88" i="1"/>
  <c r="M88" i="1"/>
  <c r="N88" i="1"/>
  <c r="O88" i="1"/>
  <c r="F90" i="1"/>
  <c r="G90" i="1"/>
  <c r="H90" i="1"/>
  <c r="I90" i="1"/>
  <c r="J90" i="1"/>
  <c r="K90" i="1"/>
  <c r="L90" i="1"/>
  <c r="M90" i="1"/>
  <c r="N90" i="1"/>
  <c r="O90" i="1"/>
  <c r="F91" i="1"/>
  <c r="G91" i="1"/>
  <c r="H91" i="1"/>
  <c r="I91" i="1"/>
  <c r="J91" i="1"/>
  <c r="K91" i="1"/>
  <c r="L91" i="1"/>
  <c r="M91" i="1"/>
  <c r="N91" i="1"/>
  <c r="O91" i="1"/>
  <c r="F92" i="1"/>
  <c r="G92" i="1"/>
  <c r="H92" i="1"/>
  <c r="I92" i="1"/>
  <c r="J92" i="1"/>
  <c r="K92" i="1"/>
  <c r="L92" i="1"/>
  <c r="M92" i="1"/>
  <c r="N92" i="1"/>
  <c r="O92" i="1"/>
  <c r="F93" i="1"/>
  <c r="G93" i="1"/>
  <c r="H93" i="1"/>
  <c r="I93" i="1"/>
  <c r="J93" i="1"/>
  <c r="K93" i="1"/>
  <c r="L93" i="1"/>
  <c r="M93" i="1"/>
  <c r="N93" i="1"/>
  <c r="O93" i="1"/>
  <c r="F94" i="1"/>
  <c r="G94" i="1"/>
  <c r="H94" i="1"/>
  <c r="I94" i="1"/>
  <c r="J94" i="1"/>
  <c r="K94" i="1"/>
  <c r="L94" i="1"/>
  <c r="M94" i="1"/>
  <c r="N94" i="1"/>
  <c r="O94" i="1"/>
  <c r="F95" i="1"/>
  <c r="G95" i="1"/>
  <c r="H95" i="1"/>
  <c r="I95" i="1"/>
  <c r="J95" i="1"/>
  <c r="K95" i="1"/>
  <c r="L95" i="1"/>
  <c r="M95" i="1"/>
  <c r="N95" i="1"/>
  <c r="O95" i="1"/>
  <c r="F96" i="1"/>
  <c r="G96" i="1"/>
  <c r="H96" i="1"/>
  <c r="I96" i="1"/>
  <c r="J96" i="1"/>
  <c r="K96" i="1"/>
  <c r="L96" i="1"/>
  <c r="M96" i="1"/>
  <c r="N96" i="1"/>
  <c r="O96" i="1"/>
  <c r="F98" i="1"/>
  <c r="G98" i="1"/>
  <c r="H98" i="1"/>
  <c r="I98" i="1"/>
  <c r="J98" i="1"/>
  <c r="K98" i="1"/>
  <c r="L98" i="1"/>
  <c r="M98" i="1"/>
  <c r="N98" i="1"/>
  <c r="O98" i="1"/>
  <c r="F99" i="1"/>
  <c r="G99" i="1"/>
  <c r="H99" i="1"/>
  <c r="I99" i="1"/>
  <c r="J99" i="1"/>
  <c r="K99" i="1"/>
  <c r="L99" i="1"/>
  <c r="M99" i="1"/>
  <c r="N99" i="1"/>
  <c r="O99" i="1"/>
  <c r="F100" i="1"/>
  <c r="G100" i="1"/>
  <c r="H100" i="1"/>
  <c r="I100" i="1"/>
  <c r="J100" i="1"/>
  <c r="K100" i="1"/>
  <c r="L100" i="1"/>
  <c r="M100" i="1"/>
  <c r="N100" i="1"/>
  <c r="O100" i="1"/>
  <c r="F104" i="1"/>
  <c r="G104" i="1"/>
  <c r="H104" i="1"/>
  <c r="I104" i="1"/>
  <c r="J104" i="1"/>
  <c r="K104" i="1"/>
  <c r="L104" i="1"/>
  <c r="M104" i="1"/>
  <c r="N104" i="1"/>
  <c r="O104" i="1"/>
  <c r="F105" i="1"/>
  <c r="G105" i="1"/>
  <c r="H105" i="1"/>
  <c r="I105" i="1"/>
  <c r="J105" i="1"/>
  <c r="K105" i="1"/>
  <c r="L105" i="1"/>
  <c r="M105" i="1"/>
  <c r="N105" i="1"/>
  <c r="O105" i="1"/>
  <c r="F106" i="1"/>
  <c r="G106" i="1"/>
  <c r="H106" i="1"/>
  <c r="I106" i="1"/>
  <c r="J106" i="1"/>
  <c r="K106" i="1"/>
  <c r="L106" i="1"/>
  <c r="M106" i="1"/>
  <c r="N106" i="1"/>
  <c r="O106" i="1"/>
  <c r="F135" i="1"/>
  <c r="G135" i="1"/>
  <c r="H135" i="1"/>
  <c r="I135" i="1"/>
  <c r="J135" i="1"/>
  <c r="K135" i="1"/>
  <c r="L135" i="1"/>
  <c r="M135" i="1"/>
  <c r="N135" i="1"/>
  <c r="O135" i="1"/>
  <c r="F136" i="1"/>
  <c r="G136" i="1"/>
  <c r="H136" i="1"/>
  <c r="I136" i="1"/>
  <c r="J136" i="1"/>
  <c r="K136" i="1"/>
  <c r="L136" i="1"/>
  <c r="M136" i="1"/>
  <c r="N136" i="1"/>
  <c r="O136" i="1"/>
  <c r="F137" i="1"/>
  <c r="G137" i="1"/>
  <c r="H137" i="1"/>
  <c r="I137" i="1"/>
  <c r="J137" i="1"/>
  <c r="K137" i="1"/>
  <c r="L137" i="1"/>
  <c r="M137" i="1"/>
  <c r="N137" i="1"/>
  <c r="O137" i="1"/>
  <c r="F138" i="1"/>
  <c r="G138" i="1"/>
  <c r="H138" i="1"/>
  <c r="I138" i="1"/>
  <c r="J138" i="1"/>
  <c r="K138" i="1"/>
  <c r="L138" i="1"/>
  <c r="M138" i="1"/>
  <c r="N138" i="1"/>
  <c r="O138" i="1"/>
  <c r="F140" i="1"/>
  <c r="G140" i="1"/>
  <c r="H140" i="1"/>
  <c r="I140" i="1"/>
  <c r="J140" i="1"/>
  <c r="K140" i="1"/>
  <c r="L140" i="1"/>
  <c r="M140" i="1"/>
  <c r="N140" i="1"/>
  <c r="O140" i="1"/>
  <c r="F146" i="1"/>
  <c r="G146" i="1"/>
  <c r="H146" i="1"/>
  <c r="I146" i="1"/>
  <c r="J146" i="1"/>
  <c r="K146" i="1"/>
  <c r="L146" i="1"/>
  <c r="M146" i="1"/>
  <c r="N146" i="1"/>
  <c r="O146" i="1"/>
  <c r="F147" i="1"/>
  <c r="G147" i="1"/>
  <c r="H147" i="1"/>
  <c r="I147" i="1"/>
  <c r="J147" i="1"/>
  <c r="K147" i="1"/>
  <c r="L147" i="1"/>
  <c r="M147" i="1"/>
  <c r="N147" i="1"/>
  <c r="O147" i="1"/>
  <c r="F148" i="1"/>
  <c r="G148" i="1"/>
  <c r="H148" i="1"/>
  <c r="I148" i="1"/>
  <c r="J148" i="1"/>
  <c r="K148" i="1"/>
  <c r="L148" i="1"/>
  <c r="M148" i="1"/>
  <c r="N148" i="1"/>
  <c r="O148" i="1"/>
  <c r="F149" i="1"/>
  <c r="G149" i="1"/>
  <c r="H149" i="1"/>
  <c r="I149" i="1"/>
  <c r="J149" i="1"/>
  <c r="K149" i="1"/>
  <c r="L149" i="1"/>
  <c r="M149" i="1"/>
  <c r="N149" i="1"/>
  <c r="O149" i="1"/>
  <c r="F150" i="1"/>
  <c r="G150" i="1"/>
  <c r="H150" i="1"/>
  <c r="I150" i="1"/>
  <c r="J150" i="1"/>
  <c r="K150" i="1"/>
  <c r="L150" i="1"/>
  <c r="M150" i="1"/>
  <c r="N150" i="1"/>
  <c r="O150" i="1"/>
  <c r="F152" i="1"/>
  <c r="G152" i="1"/>
  <c r="H152" i="1"/>
  <c r="I152" i="1"/>
  <c r="J152" i="1"/>
  <c r="K152" i="1"/>
  <c r="L152" i="1"/>
  <c r="M152" i="1"/>
  <c r="N152" i="1"/>
  <c r="O152" i="1"/>
  <c r="F153" i="1"/>
  <c r="G153" i="1"/>
  <c r="H153" i="1"/>
  <c r="I153" i="1"/>
  <c r="J153" i="1"/>
  <c r="K153" i="1"/>
  <c r="L153" i="1"/>
  <c r="M153" i="1"/>
  <c r="N153" i="1"/>
  <c r="O153" i="1"/>
  <c r="F158" i="1"/>
  <c r="G158" i="1"/>
  <c r="H158" i="1"/>
  <c r="I158" i="1"/>
  <c r="J158" i="1"/>
  <c r="K158" i="1"/>
  <c r="L158" i="1"/>
  <c r="M158" i="1"/>
  <c r="N158" i="1"/>
  <c r="O158" i="1"/>
  <c r="F159" i="1"/>
  <c r="G159" i="1"/>
  <c r="H159" i="1"/>
  <c r="I159" i="1"/>
  <c r="J159" i="1"/>
  <c r="K159" i="1"/>
  <c r="L159" i="1"/>
  <c r="M159" i="1"/>
  <c r="N159" i="1"/>
  <c r="O159" i="1"/>
  <c r="F160" i="1"/>
  <c r="G160" i="1"/>
  <c r="H160" i="1"/>
  <c r="I160" i="1"/>
  <c r="J160" i="1"/>
  <c r="K160" i="1"/>
  <c r="L160" i="1"/>
  <c r="M160" i="1"/>
  <c r="N160" i="1"/>
  <c r="O160" i="1"/>
  <c r="F161" i="1"/>
  <c r="G161" i="1"/>
  <c r="H161" i="1"/>
  <c r="I161" i="1"/>
  <c r="J161" i="1"/>
  <c r="K161" i="1"/>
  <c r="L161" i="1"/>
  <c r="M161" i="1"/>
  <c r="N161" i="1"/>
  <c r="O161" i="1"/>
  <c r="F164" i="1"/>
  <c r="G164" i="1"/>
  <c r="H164" i="1"/>
  <c r="I164" i="1"/>
  <c r="J164" i="1"/>
  <c r="K164" i="1"/>
  <c r="L164" i="1"/>
  <c r="M164" i="1"/>
  <c r="N164" i="1"/>
  <c r="O164" i="1"/>
  <c r="F165" i="1"/>
  <c r="G165" i="1"/>
  <c r="H165" i="1"/>
  <c r="I165" i="1"/>
  <c r="J165" i="1"/>
  <c r="K165" i="1"/>
  <c r="L165" i="1"/>
  <c r="M165" i="1"/>
  <c r="N165" i="1"/>
  <c r="O165" i="1"/>
  <c r="F166" i="1"/>
  <c r="G166" i="1"/>
  <c r="H166" i="1"/>
  <c r="I166" i="1"/>
  <c r="J166" i="1"/>
  <c r="K166" i="1"/>
  <c r="L166" i="1"/>
  <c r="M166" i="1"/>
  <c r="N166" i="1"/>
  <c r="O166" i="1"/>
  <c r="F167" i="1"/>
  <c r="G167" i="1"/>
  <c r="H167" i="1"/>
  <c r="I167" i="1"/>
  <c r="J167" i="1"/>
  <c r="K167" i="1"/>
  <c r="L167" i="1"/>
  <c r="M167" i="1"/>
  <c r="N167" i="1"/>
  <c r="O167" i="1"/>
  <c r="F169" i="1"/>
  <c r="G169" i="1"/>
  <c r="H169" i="1"/>
  <c r="I169" i="1"/>
  <c r="J169" i="1"/>
  <c r="K169" i="1"/>
  <c r="L169" i="1"/>
  <c r="M169" i="1"/>
  <c r="N169" i="1"/>
  <c r="O169" i="1"/>
  <c r="F170" i="1"/>
  <c r="G170" i="1"/>
  <c r="H170" i="1"/>
  <c r="I170" i="1"/>
  <c r="J170" i="1"/>
  <c r="K170" i="1"/>
  <c r="L170" i="1"/>
  <c r="M170" i="1"/>
  <c r="N170" i="1"/>
  <c r="O170" i="1"/>
  <c r="F171" i="1"/>
  <c r="G171" i="1"/>
  <c r="H171" i="1"/>
  <c r="I171" i="1"/>
  <c r="J171" i="1"/>
  <c r="K171" i="1"/>
  <c r="L171" i="1"/>
  <c r="M171" i="1"/>
  <c r="N171" i="1"/>
  <c r="O171" i="1"/>
  <c r="F172" i="1"/>
  <c r="G172" i="1"/>
  <c r="H172" i="1"/>
  <c r="I172" i="1"/>
  <c r="J172" i="1"/>
  <c r="K172" i="1"/>
  <c r="L172" i="1"/>
  <c r="M172" i="1"/>
  <c r="N172" i="1"/>
  <c r="O172" i="1"/>
  <c r="F174" i="1"/>
  <c r="G174" i="1"/>
  <c r="H174" i="1"/>
  <c r="I174" i="1"/>
  <c r="J174" i="1"/>
  <c r="K174" i="1"/>
  <c r="L174" i="1"/>
  <c r="M174" i="1"/>
  <c r="N174" i="1"/>
  <c r="O174" i="1"/>
  <c r="F175" i="1"/>
  <c r="G175" i="1"/>
  <c r="H175" i="1"/>
  <c r="I175" i="1"/>
  <c r="J175" i="1"/>
  <c r="K175" i="1"/>
  <c r="L175" i="1"/>
  <c r="M175" i="1"/>
  <c r="N175" i="1"/>
  <c r="O175" i="1"/>
  <c r="F176" i="1"/>
  <c r="G176" i="1"/>
  <c r="H176" i="1"/>
  <c r="I176" i="1"/>
  <c r="J176" i="1"/>
  <c r="K176" i="1"/>
  <c r="L176" i="1"/>
  <c r="M176" i="1"/>
  <c r="N176" i="1"/>
  <c r="O176" i="1"/>
  <c r="F177" i="1"/>
  <c r="G177" i="1"/>
  <c r="H177" i="1"/>
  <c r="I177" i="1"/>
  <c r="J177" i="1"/>
  <c r="K177" i="1"/>
  <c r="L177" i="1"/>
  <c r="M177" i="1"/>
  <c r="N177" i="1"/>
  <c r="O177" i="1"/>
  <c r="F179" i="1"/>
  <c r="G179" i="1"/>
  <c r="H179" i="1"/>
  <c r="I179" i="1"/>
  <c r="J179" i="1"/>
  <c r="K179" i="1"/>
  <c r="L179" i="1"/>
  <c r="M179" i="1"/>
  <c r="N179" i="1"/>
  <c r="O179" i="1"/>
  <c r="F180" i="1"/>
  <c r="G180" i="1"/>
  <c r="H180" i="1"/>
  <c r="I180" i="1"/>
  <c r="J180" i="1"/>
  <c r="K180" i="1"/>
  <c r="L180" i="1"/>
  <c r="M180" i="1"/>
  <c r="N180" i="1"/>
  <c r="O180" i="1"/>
  <c r="F181" i="1"/>
  <c r="G181" i="1"/>
  <c r="H181" i="1"/>
  <c r="I181" i="1"/>
  <c r="J181" i="1"/>
  <c r="K181" i="1"/>
  <c r="L181" i="1"/>
  <c r="M181" i="1"/>
  <c r="N181" i="1"/>
  <c r="O181" i="1"/>
  <c r="F182" i="1"/>
  <c r="G182" i="1"/>
  <c r="H182" i="1"/>
  <c r="I182" i="1"/>
  <c r="J182" i="1"/>
  <c r="K182" i="1"/>
  <c r="L182" i="1"/>
  <c r="M182" i="1"/>
  <c r="N182" i="1"/>
  <c r="O182" i="1"/>
  <c r="F184" i="1"/>
  <c r="G184" i="1"/>
  <c r="H184" i="1"/>
  <c r="I184" i="1"/>
  <c r="J184" i="1"/>
  <c r="K184" i="1"/>
  <c r="L184" i="1"/>
  <c r="M184" i="1"/>
  <c r="N184" i="1"/>
  <c r="O184" i="1"/>
  <c r="F185" i="1"/>
  <c r="G185" i="1"/>
  <c r="H185" i="1"/>
  <c r="I185" i="1"/>
  <c r="J185" i="1"/>
  <c r="K185" i="1"/>
  <c r="L185" i="1"/>
  <c r="M185" i="1"/>
  <c r="N185" i="1"/>
  <c r="O185" i="1"/>
  <c r="F186" i="1"/>
  <c r="G186" i="1"/>
  <c r="H186" i="1"/>
  <c r="I186" i="1"/>
  <c r="J186" i="1"/>
  <c r="K186" i="1"/>
  <c r="L186" i="1"/>
  <c r="M186" i="1"/>
  <c r="N186" i="1"/>
  <c r="O186" i="1"/>
  <c r="F187" i="1"/>
  <c r="G187" i="1"/>
  <c r="H187" i="1"/>
  <c r="I187" i="1"/>
  <c r="J187" i="1"/>
  <c r="K187" i="1"/>
  <c r="L187" i="1"/>
  <c r="M187" i="1"/>
  <c r="N187" i="1"/>
  <c r="O187" i="1"/>
  <c r="F196" i="1"/>
  <c r="G196" i="1"/>
  <c r="H196" i="1"/>
  <c r="I196" i="1"/>
  <c r="J196" i="1"/>
  <c r="K196" i="1"/>
  <c r="L196" i="1"/>
  <c r="M196" i="1"/>
  <c r="N196" i="1"/>
  <c r="O196" i="1"/>
  <c r="F198" i="1"/>
  <c r="G198" i="1"/>
  <c r="H198" i="1"/>
  <c r="I198" i="1"/>
  <c r="J198" i="1"/>
  <c r="K198" i="1"/>
  <c r="L198" i="1"/>
  <c r="M198" i="1"/>
  <c r="N198" i="1"/>
  <c r="O198" i="1"/>
  <c r="F216" i="1"/>
  <c r="G216" i="1"/>
  <c r="H216" i="1"/>
  <c r="I216" i="1"/>
  <c r="J216" i="1"/>
  <c r="K216" i="1"/>
  <c r="L216" i="1"/>
  <c r="M216" i="1"/>
  <c r="N216" i="1"/>
  <c r="O216" i="1"/>
  <c r="F217" i="1"/>
  <c r="G217" i="1"/>
  <c r="H217" i="1"/>
  <c r="I217" i="1"/>
  <c r="J217" i="1"/>
  <c r="K217" i="1"/>
  <c r="L217" i="1"/>
  <c r="M217" i="1"/>
  <c r="N217" i="1"/>
  <c r="O217" i="1"/>
  <c r="F218" i="1"/>
  <c r="G218" i="1"/>
  <c r="H218" i="1"/>
  <c r="I218" i="1"/>
  <c r="J218" i="1"/>
  <c r="K218" i="1"/>
  <c r="L218" i="1"/>
  <c r="M218" i="1"/>
  <c r="N218" i="1"/>
  <c r="O218" i="1"/>
  <c r="F219" i="1"/>
  <c r="G219" i="1"/>
  <c r="H219" i="1"/>
  <c r="I219" i="1"/>
  <c r="J219" i="1"/>
  <c r="K219" i="1"/>
  <c r="L219" i="1"/>
  <c r="M219" i="1"/>
  <c r="N219" i="1"/>
  <c r="O219" i="1"/>
  <c r="F222" i="1"/>
  <c r="G222" i="1"/>
  <c r="H222" i="1"/>
  <c r="I222" i="1"/>
  <c r="J222" i="1"/>
  <c r="K222" i="1"/>
  <c r="L222" i="1"/>
  <c r="M222" i="1"/>
  <c r="N222" i="1"/>
  <c r="O222" i="1"/>
  <c r="F224" i="1"/>
  <c r="G224" i="1"/>
  <c r="H224" i="1"/>
  <c r="I224" i="1"/>
  <c r="J224" i="1"/>
  <c r="K224" i="1"/>
  <c r="L224" i="1"/>
  <c r="M224" i="1"/>
  <c r="N224" i="1"/>
  <c r="O224" i="1"/>
  <c r="F225" i="1"/>
  <c r="G225" i="1"/>
  <c r="H225" i="1"/>
  <c r="I225" i="1"/>
  <c r="J225" i="1"/>
  <c r="K225" i="1"/>
  <c r="L225" i="1"/>
  <c r="M225" i="1"/>
  <c r="N225" i="1"/>
  <c r="O225" i="1"/>
  <c r="F258" i="1"/>
  <c r="G258" i="1"/>
  <c r="H258" i="1"/>
  <c r="I258" i="1"/>
  <c r="J258" i="1"/>
  <c r="K258" i="1"/>
  <c r="L258" i="1"/>
  <c r="M258" i="1"/>
  <c r="N258" i="1"/>
  <c r="O258" i="1"/>
  <c r="F259" i="1"/>
  <c r="G259" i="1"/>
  <c r="H259" i="1"/>
  <c r="I259" i="1"/>
  <c r="J259" i="1"/>
  <c r="K259" i="1"/>
  <c r="L259" i="1"/>
  <c r="M259" i="1"/>
  <c r="N259" i="1"/>
  <c r="O259" i="1"/>
  <c r="F260" i="1"/>
  <c r="G260" i="1"/>
  <c r="H260" i="1"/>
  <c r="I260" i="1"/>
  <c r="J260" i="1"/>
  <c r="K260" i="1"/>
  <c r="L260" i="1"/>
  <c r="M260" i="1"/>
  <c r="N260" i="1"/>
  <c r="O260" i="1"/>
  <c r="F263" i="1"/>
  <c r="G263" i="1"/>
  <c r="H263" i="1"/>
  <c r="I263" i="1"/>
  <c r="J263" i="1"/>
  <c r="K263" i="1"/>
  <c r="L263" i="1"/>
  <c r="M263" i="1"/>
  <c r="N263" i="1"/>
  <c r="O263" i="1"/>
  <c r="F264" i="1"/>
  <c r="G264" i="1"/>
  <c r="H264" i="1"/>
  <c r="I264" i="1"/>
  <c r="J264" i="1"/>
  <c r="K264" i="1"/>
  <c r="L264" i="1"/>
  <c r="M264" i="1"/>
  <c r="N264" i="1"/>
  <c r="O264" i="1"/>
  <c r="F265" i="1"/>
  <c r="G265" i="1"/>
  <c r="H265" i="1"/>
  <c r="I265" i="1"/>
  <c r="J265" i="1"/>
  <c r="K265" i="1"/>
  <c r="L265" i="1"/>
  <c r="M265" i="1"/>
  <c r="N265" i="1"/>
  <c r="O265" i="1"/>
  <c r="F5" i="4"/>
  <c r="G5" i="4"/>
  <c r="H5" i="4"/>
  <c r="I5" i="4"/>
  <c r="J5" i="4"/>
  <c r="K5" i="4"/>
  <c r="L5" i="4"/>
  <c r="M5" i="4"/>
  <c r="N5" i="4"/>
  <c r="O5" i="4"/>
  <c r="F9" i="4"/>
  <c r="G9" i="4"/>
  <c r="H9" i="4"/>
  <c r="I9" i="4"/>
  <c r="J9" i="4"/>
  <c r="K9" i="4"/>
  <c r="L9" i="4"/>
  <c r="M9" i="4"/>
  <c r="N9" i="4"/>
  <c r="O9" i="4"/>
  <c r="F10" i="4"/>
  <c r="G10" i="4"/>
  <c r="H10" i="4"/>
  <c r="I10" i="4"/>
  <c r="J10" i="4"/>
  <c r="K10" i="4"/>
  <c r="L10" i="4"/>
  <c r="M10" i="4"/>
  <c r="N10" i="4"/>
  <c r="O10" i="4"/>
  <c r="F11" i="4"/>
  <c r="G11" i="4"/>
  <c r="H11" i="4"/>
  <c r="I11" i="4"/>
  <c r="J11" i="4"/>
  <c r="K11" i="4"/>
  <c r="L11" i="4"/>
  <c r="M11" i="4"/>
  <c r="N11" i="4"/>
  <c r="O11" i="4"/>
  <c r="F12" i="4"/>
  <c r="G12" i="4"/>
  <c r="H12" i="4"/>
  <c r="I12" i="4"/>
  <c r="J12" i="4"/>
  <c r="K12" i="4"/>
  <c r="L12" i="4"/>
  <c r="M12" i="4"/>
  <c r="N12" i="4"/>
  <c r="O12" i="4"/>
  <c r="F13" i="4"/>
  <c r="G13" i="4"/>
  <c r="H13" i="4"/>
  <c r="I13" i="4"/>
  <c r="J13" i="4"/>
  <c r="K13" i="4"/>
  <c r="L13" i="4"/>
  <c r="M13" i="4"/>
  <c r="N13" i="4"/>
  <c r="O13" i="4"/>
  <c r="F14" i="4"/>
  <c r="G14" i="4"/>
  <c r="H14" i="4"/>
  <c r="I14" i="4"/>
  <c r="J14" i="4"/>
  <c r="K14" i="4"/>
  <c r="L14" i="4"/>
  <c r="M14" i="4"/>
  <c r="N14" i="4"/>
  <c r="O14" i="4"/>
  <c r="F16" i="4"/>
  <c r="G16" i="4"/>
  <c r="H16" i="4"/>
  <c r="I16" i="4"/>
  <c r="J16" i="4"/>
  <c r="K16" i="4"/>
  <c r="L16" i="4"/>
  <c r="M16" i="4"/>
  <c r="N16" i="4"/>
  <c r="O16" i="4"/>
  <c r="F19" i="4"/>
  <c r="G19" i="4"/>
  <c r="H19" i="4"/>
  <c r="I19" i="4"/>
  <c r="J19" i="4"/>
  <c r="K19" i="4"/>
  <c r="L19" i="4"/>
  <c r="M19" i="4"/>
  <c r="N19" i="4"/>
  <c r="O19" i="4"/>
  <c r="F20" i="4"/>
  <c r="G20" i="4"/>
  <c r="H20" i="4"/>
  <c r="I20" i="4"/>
  <c r="J20" i="4"/>
  <c r="K20" i="4"/>
  <c r="L20" i="4"/>
  <c r="M20" i="4"/>
  <c r="N20" i="4"/>
  <c r="O20" i="4"/>
  <c r="F21" i="4"/>
  <c r="G21" i="4"/>
  <c r="H21" i="4"/>
  <c r="I21" i="4"/>
  <c r="J21" i="4"/>
  <c r="K21" i="4"/>
  <c r="L21" i="4"/>
  <c r="M21" i="4"/>
  <c r="N21" i="4"/>
  <c r="O21" i="4"/>
  <c r="F24" i="4"/>
  <c r="G24" i="4"/>
  <c r="H24" i="4"/>
  <c r="I24" i="4"/>
  <c r="J24" i="4"/>
  <c r="K24" i="4"/>
  <c r="L24" i="4"/>
  <c r="M24" i="4"/>
  <c r="N24" i="4"/>
  <c r="O24" i="4"/>
  <c r="F26" i="4"/>
  <c r="G26" i="4"/>
  <c r="H26" i="4"/>
  <c r="I26" i="4"/>
  <c r="J26" i="4"/>
  <c r="K26" i="4"/>
  <c r="L26" i="4"/>
  <c r="M26" i="4"/>
  <c r="N26" i="4"/>
  <c r="O26" i="4"/>
  <c r="F28" i="4"/>
  <c r="G28" i="4"/>
  <c r="H28" i="4"/>
  <c r="I28" i="4"/>
  <c r="J28" i="4"/>
  <c r="K28" i="4"/>
  <c r="L28" i="4"/>
  <c r="M28" i="4"/>
  <c r="N28" i="4"/>
  <c r="O28" i="4"/>
  <c r="F31" i="4"/>
  <c r="G31" i="4"/>
  <c r="H31" i="4"/>
  <c r="I31" i="4"/>
  <c r="J31" i="4"/>
  <c r="K31" i="4"/>
  <c r="L31" i="4"/>
  <c r="M31" i="4"/>
  <c r="N31" i="4"/>
  <c r="O31" i="4"/>
  <c r="F32" i="4"/>
  <c r="G32" i="4"/>
  <c r="H32" i="4"/>
  <c r="I32" i="4"/>
  <c r="J32" i="4"/>
  <c r="K32" i="4"/>
  <c r="L32" i="4"/>
  <c r="M32" i="4"/>
  <c r="N32" i="4"/>
  <c r="O32" i="4"/>
  <c r="F33" i="4"/>
  <c r="G33" i="4"/>
  <c r="H33" i="4"/>
  <c r="I33" i="4"/>
  <c r="J33" i="4"/>
  <c r="K33" i="4"/>
  <c r="L33" i="4"/>
  <c r="M33" i="4"/>
  <c r="N33" i="4"/>
  <c r="O33" i="4"/>
  <c r="F37" i="4"/>
  <c r="G37" i="4"/>
  <c r="H37" i="4"/>
  <c r="I37" i="4"/>
  <c r="J37" i="4"/>
  <c r="K37" i="4"/>
  <c r="L37" i="4"/>
  <c r="M37" i="4"/>
  <c r="N37" i="4"/>
  <c r="O37" i="4"/>
  <c r="F38" i="4"/>
  <c r="G38" i="4"/>
  <c r="H38" i="4"/>
  <c r="I38" i="4"/>
  <c r="J38" i="4"/>
  <c r="K38" i="4"/>
  <c r="L38" i="4"/>
  <c r="M38" i="4"/>
  <c r="N38" i="4"/>
  <c r="O38" i="4"/>
  <c r="F39" i="4"/>
  <c r="G39" i="4"/>
  <c r="H39" i="4"/>
  <c r="I39" i="4"/>
  <c r="J39" i="4"/>
  <c r="K39" i="4"/>
  <c r="L39" i="4"/>
  <c r="M39" i="4"/>
  <c r="N39" i="4"/>
  <c r="O39" i="4"/>
  <c r="F40" i="4"/>
  <c r="G40" i="4"/>
  <c r="H40" i="4"/>
  <c r="I40" i="4"/>
  <c r="J40" i="4"/>
  <c r="K40" i="4"/>
  <c r="L40" i="4"/>
  <c r="M40" i="4"/>
  <c r="N40" i="4"/>
  <c r="O40" i="4"/>
  <c r="F41" i="4"/>
  <c r="G41" i="4"/>
  <c r="H41" i="4"/>
  <c r="I41" i="4"/>
  <c r="J41" i="4"/>
  <c r="K41" i="4"/>
  <c r="L41" i="4"/>
  <c r="M41" i="4"/>
  <c r="N41" i="4"/>
  <c r="O41" i="4"/>
  <c r="F43" i="4"/>
  <c r="G43" i="4"/>
  <c r="H43" i="4"/>
  <c r="I43" i="4"/>
  <c r="J43" i="4"/>
  <c r="K43" i="4"/>
  <c r="L43" i="4"/>
  <c r="M43" i="4"/>
  <c r="N43" i="4"/>
  <c r="O43" i="4"/>
  <c r="F44" i="4"/>
  <c r="G44" i="4"/>
  <c r="H44" i="4"/>
  <c r="I44" i="4"/>
  <c r="J44" i="4"/>
  <c r="K44" i="4"/>
  <c r="L44" i="4"/>
  <c r="M44" i="4"/>
  <c r="N44" i="4"/>
  <c r="O44" i="4"/>
  <c r="F50" i="4"/>
  <c r="G50" i="4"/>
  <c r="H50" i="4"/>
  <c r="I50" i="4"/>
  <c r="J50" i="4"/>
  <c r="K50" i="4"/>
  <c r="L50" i="4"/>
  <c r="M50" i="4"/>
  <c r="N50" i="4"/>
  <c r="O50" i="4"/>
  <c r="F51" i="4"/>
  <c r="G51" i="4"/>
  <c r="H51" i="4"/>
  <c r="I51" i="4"/>
  <c r="J51" i="4"/>
  <c r="K51" i="4"/>
  <c r="L51" i="4"/>
  <c r="M51" i="4"/>
  <c r="N51" i="4"/>
  <c r="O51" i="4"/>
  <c r="F52" i="4"/>
  <c r="G52" i="4"/>
  <c r="H52" i="4"/>
  <c r="I52" i="4"/>
  <c r="J52" i="4"/>
  <c r="K52" i="4"/>
  <c r="L52" i="4"/>
  <c r="M52" i="4"/>
  <c r="N52" i="4"/>
  <c r="O52" i="4"/>
  <c r="F54" i="4"/>
  <c r="G54" i="4"/>
  <c r="H54" i="4"/>
  <c r="I54" i="4"/>
  <c r="J54" i="4"/>
  <c r="K54" i="4"/>
  <c r="L54" i="4"/>
  <c r="M54" i="4"/>
  <c r="N54" i="4"/>
  <c r="O54" i="4"/>
  <c r="F55" i="4"/>
  <c r="G55" i="4"/>
  <c r="H55" i="4"/>
  <c r="I55" i="4"/>
  <c r="J55" i="4"/>
  <c r="K55" i="4"/>
  <c r="L55" i="4"/>
  <c r="M55" i="4"/>
  <c r="N55" i="4"/>
  <c r="O55" i="4"/>
  <c r="F56" i="4"/>
  <c r="G56" i="4"/>
  <c r="H56" i="4"/>
  <c r="I56" i="4"/>
  <c r="J56" i="4"/>
  <c r="K56" i="4"/>
  <c r="L56" i="4"/>
  <c r="M56" i="4"/>
  <c r="N56" i="4"/>
  <c r="O56" i="4"/>
  <c r="F57" i="4"/>
  <c r="G57" i="4"/>
  <c r="H57" i="4"/>
  <c r="I57" i="4"/>
  <c r="J57" i="4"/>
  <c r="K57" i="4"/>
  <c r="L57" i="4"/>
  <c r="M57" i="4"/>
  <c r="N57" i="4"/>
  <c r="O57" i="4"/>
  <c r="F58" i="4"/>
  <c r="G58" i="4"/>
  <c r="H58" i="4"/>
  <c r="I58" i="4"/>
  <c r="J58" i="4"/>
  <c r="K58" i="4"/>
  <c r="L58" i="4"/>
  <c r="M58" i="4"/>
  <c r="N58" i="4"/>
  <c r="O58" i="4"/>
  <c r="F59" i="4"/>
  <c r="G59" i="4"/>
  <c r="H59" i="4"/>
  <c r="I59" i="4"/>
  <c r="J59" i="4"/>
  <c r="K59" i="4"/>
  <c r="L59" i="4"/>
  <c r="M59" i="4"/>
  <c r="N59" i="4"/>
  <c r="O59" i="4"/>
  <c r="F61" i="4"/>
  <c r="G61" i="4"/>
  <c r="H61" i="4"/>
  <c r="I61" i="4"/>
  <c r="J61" i="4"/>
  <c r="K61" i="4"/>
  <c r="L61" i="4"/>
  <c r="M61" i="4"/>
  <c r="N61" i="4"/>
  <c r="O61" i="4"/>
  <c r="F62" i="4"/>
  <c r="G62" i="4"/>
  <c r="H62" i="4"/>
  <c r="I62" i="4"/>
  <c r="J62" i="4"/>
  <c r="K62" i="4"/>
  <c r="L62" i="4"/>
  <c r="M62" i="4"/>
  <c r="N62" i="4"/>
  <c r="O62" i="4"/>
  <c r="F63" i="4"/>
  <c r="G63" i="4"/>
  <c r="H63" i="4"/>
  <c r="I63" i="4"/>
  <c r="J63" i="4"/>
  <c r="K63" i="4"/>
  <c r="L63" i="4"/>
  <c r="M63" i="4"/>
  <c r="N63" i="4"/>
  <c r="O63" i="4"/>
  <c r="F64" i="4"/>
  <c r="G64" i="4"/>
  <c r="H64" i="4"/>
  <c r="I64" i="4"/>
  <c r="J64" i="4"/>
  <c r="K64" i="4"/>
  <c r="L64" i="4"/>
  <c r="M64" i="4"/>
  <c r="N64" i="4"/>
  <c r="O64" i="4"/>
  <c r="F65" i="4"/>
  <c r="G65" i="4"/>
  <c r="H65" i="4"/>
  <c r="I65" i="4"/>
  <c r="J65" i="4"/>
  <c r="K65" i="4"/>
  <c r="L65" i="4"/>
  <c r="M65" i="4"/>
  <c r="N65" i="4"/>
  <c r="O65" i="4"/>
  <c r="F66" i="4"/>
  <c r="G66" i="4"/>
  <c r="H66" i="4"/>
  <c r="I66" i="4"/>
  <c r="J66" i="4"/>
  <c r="K66" i="4"/>
  <c r="L66" i="4"/>
  <c r="M66" i="4"/>
  <c r="N66" i="4"/>
  <c r="O66" i="4"/>
  <c r="F67" i="4"/>
  <c r="G67" i="4"/>
  <c r="H67" i="4"/>
  <c r="I67" i="4"/>
  <c r="J67" i="4"/>
  <c r="K67" i="4"/>
  <c r="L67" i="4"/>
  <c r="M67" i="4"/>
  <c r="N67" i="4"/>
  <c r="O67" i="4"/>
  <c r="F68" i="4"/>
  <c r="G68" i="4"/>
  <c r="H68" i="4"/>
  <c r="I68" i="4"/>
  <c r="J68" i="4"/>
  <c r="K68" i="4"/>
  <c r="L68" i="4"/>
  <c r="M68" i="4"/>
  <c r="N68" i="4"/>
  <c r="O68" i="4"/>
  <c r="F69" i="4"/>
  <c r="G69" i="4"/>
  <c r="H69" i="4"/>
  <c r="I69" i="4"/>
  <c r="J69" i="4"/>
  <c r="K69" i="4"/>
  <c r="L69" i="4"/>
  <c r="M69" i="4"/>
  <c r="N69" i="4"/>
  <c r="O69" i="4"/>
  <c r="F70" i="4"/>
  <c r="G70" i="4"/>
  <c r="H70" i="4"/>
  <c r="I70" i="4"/>
  <c r="J70" i="4"/>
  <c r="K70" i="4"/>
  <c r="L70" i="4"/>
  <c r="M70" i="4"/>
  <c r="N70" i="4"/>
  <c r="O70" i="4"/>
  <c r="F73" i="4"/>
  <c r="G73" i="4"/>
  <c r="H73" i="4"/>
  <c r="I73" i="4"/>
  <c r="J73" i="4"/>
  <c r="K73" i="4"/>
  <c r="L73" i="4"/>
  <c r="M73" i="4"/>
  <c r="N73" i="4"/>
  <c r="O73" i="4"/>
  <c r="I80" i="4"/>
  <c r="J80" i="4"/>
  <c r="K80" i="4"/>
  <c r="L80" i="4"/>
  <c r="M80" i="4"/>
  <c r="N80" i="4"/>
  <c r="O80" i="4"/>
  <c r="F82" i="4"/>
  <c r="G82" i="4"/>
  <c r="H82" i="4"/>
  <c r="I82" i="4"/>
  <c r="J82" i="4"/>
  <c r="K82" i="4"/>
  <c r="L82" i="4"/>
  <c r="M82" i="4"/>
  <c r="N82" i="4"/>
  <c r="O82" i="4"/>
  <c r="F85" i="4"/>
  <c r="G85" i="4"/>
  <c r="H85" i="4"/>
  <c r="I85" i="4"/>
  <c r="J85" i="4"/>
  <c r="K85" i="4"/>
  <c r="L85" i="4"/>
  <c r="M85" i="4"/>
  <c r="N85" i="4"/>
  <c r="O85" i="4"/>
  <c r="F86" i="4"/>
  <c r="G86" i="4"/>
  <c r="H86" i="4"/>
  <c r="I86" i="4"/>
  <c r="J86" i="4"/>
  <c r="K86" i="4"/>
  <c r="L86" i="4"/>
  <c r="M86" i="4"/>
  <c r="N86" i="4"/>
  <c r="O86" i="4"/>
  <c r="F87" i="4"/>
  <c r="G87" i="4"/>
  <c r="H87" i="4"/>
  <c r="I87" i="4"/>
  <c r="J87" i="4"/>
  <c r="K87" i="4"/>
  <c r="L87" i="4"/>
  <c r="M87" i="4"/>
  <c r="N87" i="4"/>
  <c r="O87" i="4"/>
  <c r="F89" i="4"/>
  <c r="G89" i="4"/>
  <c r="H89" i="4"/>
  <c r="I89" i="4"/>
  <c r="J89" i="4"/>
  <c r="K89" i="4"/>
  <c r="L89" i="4"/>
  <c r="M89" i="4"/>
  <c r="N89" i="4"/>
  <c r="O89" i="4"/>
  <c r="F90" i="4"/>
  <c r="G90" i="4"/>
  <c r="H90" i="4"/>
  <c r="I90" i="4"/>
  <c r="J90" i="4"/>
  <c r="K90" i="4"/>
  <c r="L90" i="4"/>
  <c r="M90" i="4"/>
  <c r="N90" i="4"/>
  <c r="O90" i="4"/>
  <c r="F91" i="4"/>
  <c r="G91" i="4"/>
  <c r="H91" i="4"/>
  <c r="I91" i="4"/>
  <c r="J91" i="4"/>
  <c r="K91" i="4"/>
  <c r="L91" i="4"/>
  <c r="M91" i="4"/>
  <c r="N91" i="4"/>
  <c r="O91" i="4"/>
  <c r="F92" i="4"/>
  <c r="G92" i="4"/>
  <c r="H92" i="4"/>
  <c r="I92" i="4"/>
  <c r="J92" i="4"/>
  <c r="K92" i="4"/>
  <c r="L92" i="4"/>
  <c r="M92" i="4"/>
  <c r="N92" i="4"/>
  <c r="O92" i="4"/>
  <c r="F93" i="4"/>
  <c r="G93" i="4"/>
  <c r="H93" i="4"/>
  <c r="I93" i="4"/>
  <c r="J93" i="4"/>
  <c r="K93" i="4"/>
  <c r="L93" i="4"/>
  <c r="M93" i="4"/>
  <c r="N93" i="4"/>
  <c r="O93" i="4"/>
  <c r="F94" i="4"/>
  <c r="G94" i="4"/>
  <c r="H94" i="4"/>
  <c r="I94" i="4"/>
  <c r="J94" i="4"/>
  <c r="K94" i="4"/>
  <c r="L94" i="4"/>
  <c r="M94" i="4"/>
  <c r="N94" i="4"/>
  <c r="O94" i="4"/>
  <c r="F95" i="4"/>
  <c r="G95" i="4"/>
  <c r="H95" i="4"/>
  <c r="I95" i="4"/>
  <c r="J95" i="4"/>
  <c r="K95" i="4"/>
  <c r="L95" i="4"/>
  <c r="M95" i="4"/>
  <c r="N95" i="4"/>
  <c r="O95" i="4"/>
</calcChain>
</file>

<file path=xl/comments1.xml><?xml version="1.0" encoding="utf-8"?>
<comments xmlns="http://schemas.openxmlformats.org/spreadsheetml/2006/main">
  <authors>
    <author>Kevin G. Gallagher</author>
    <author>Gallagher, Kevin G.</author>
  </authors>
  <commentList>
    <comment ref="A65" authorId="0">
      <text>
        <r>
          <rPr>
            <b/>
            <sz val="9"/>
            <color indexed="81"/>
            <rFont val="Tahoma"/>
            <family val="2"/>
          </rPr>
          <t>Kevin G. Gallagher:</t>
        </r>
        <r>
          <rPr>
            <sz val="9"/>
            <color indexed="81"/>
            <rFont val="Tahoma"/>
            <family val="2"/>
          </rPr>
          <t xml:space="preserve">
if kappa = sigma, delta values &gt; 1 lead to nonuniform currents, &gt;10 results in significant nonuniformities</t>
        </r>
      </text>
    </comment>
    <comment ref="N65" authorId="0">
      <text>
        <r>
          <rPr>
            <b/>
            <sz val="9"/>
            <color indexed="81"/>
            <rFont val="Tahoma"/>
            <family val="2"/>
          </rPr>
          <t>Kevin G. Gallagher:</t>
        </r>
        <r>
          <rPr>
            <sz val="9"/>
            <color indexed="81"/>
            <rFont val="Tahoma"/>
            <family val="2"/>
          </rPr>
          <t xml:space="preserve">
if kappa = sigma, delta values &gt; 1 lead to nonuniform currents, &gt;10 results in significant nonuniformities</t>
        </r>
      </text>
    </comment>
    <comment ref="C67" authorId="1">
      <text>
        <r>
          <rPr>
            <b/>
            <sz val="9"/>
            <color indexed="81"/>
            <rFont val="Tahoma"/>
            <family val="2"/>
          </rPr>
          <t>Gallagher, Kevin G.:</t>
        </r>
        <r>
          <rPr>
            <sz val="9"/>
            <color indexed="81"/>
            <rFont val="Tahoma"/>
            <family val="2"/>
          </rPr>
          <t xml:space="preserve">
changed default setting to 1.58 from 1.8 if delta is greater than 19.2</t>
        </r>
      </text>
    </comment>
  </commentList>
</comments>
</file>

<file path=xl/comments2.xml><?xml version="1.0" encoding="utf-8"?>
<comments xmlns="http://schemas.openxmlformats.org/spreadsheetml/2006/main">
  <authors>
    <author>Kevin G. Gallagher</author>
  </authors>
  <commentList>
    <comment ref="A65" authorId="0">
      <text>
        <r>
          <rPr>
            <b/>
            <sz val="9"/>
            <color indexed="81"/>
            <rFont val="Tahoma"/>
            <family val="2"/>
          </rPr>
          <t>Kevin G. Gallagher:</t>
        </r>
        <r>
          <rPr>
            <sz val="9"/>
            <color indexed="81"/>
            <rFont val="Tahoma"/>
            <family val="2"/>
          </rPr>
          <t xml:space="preserve">
if kappa = sigma, delta values &gt; 1 lead to nonuniform currents, &gt;10 results in significant nonuniformities</t>
        </r>
      </text>
    </comment>
    <comment ref="N65" authorId="0">
      <text>
        <r>
          <rPr>
            <b/>
            <sz val="9"/>
            <color indexed="81"/>
            <rFont val="Tahoma"/>
            <family val="2"/>
          </rPr>
          <t>Kevin G. Gallagher:</t>
        </r>
        <r>
          <rPr>
            <sz val="9"/>
            <color indexed="81"/>
            <rFont val="Tahoma"/>
            <family val="2"/>
          </rPr>
          <t xml:space="preserve">
if kappa = sigma, delta values &gt; 1 lead to nonuniform currents, &gt;10 results in significant nonuniformities</t>
        </r>
      </text>
    </comment>
  </commentList>
</comments>
</file>

<file path=xl/sharedStrings.xml><?xml version="1.0" encoding="utf-8"?>
<sst xmlns="http://schemas.openxmlformats.org/spreadsheetml/2006/main" count="1970" uniqueCount="896">
  <si>
    <t>Calculated pack power at V/U</t>
    <phoneticPr fontId="44" type="noConversion"/>
  </si>
  <si>
    <r>
      <t>Electrode system ASI for energy, ohm-cm</t>
    </r>
    <r>
      <rPr>
        <vertAlign val="superscript"/>
        <sz val="10"/>
        <rFont val="Arial"/>
        <family val="2"/>
      </rPr>
      <t>2</t>
    </r>
  </si>
  <si>
    <t>Capacity at C/3, Ah</t>
  </si>
  <si>
    <t>Positive Electrode, g</t>
  </si>
  <si>
    <r>
      <t xml:space="preserve">Thick., </t>
    </r>
    <r>
      <rPr>
        <sz val="10"/>
        <rFont val="Symbol"/>
        <family val="1"/>
        <charset val="2"/>
      </rPr>
      <t>m</t>
    </r>
    <r>
      <rPr>
        <sz val="10"/>
        <rFont val="Arial"/>
        <family val="2"/>
      </rPr>
      <t>m</t>
    </r>
  </si>
  <si>
    <r>
      <t>Positive foil, m</t>
    </r>
    <r>
      <rPr>
        <vertAlign val="superscript"/>
        <sz val="10"/>
        <rFont val="Arial"/>
        <family val="2"/>
      </rPr>
      <t>2</t>
    </r>
  </si>
  <si>
    <r>
      <t>Negative foil, m</t>
    </r>
    <r>
      <rPr>
        <vertAlign val="superscript"/>
        <sz val="10"/>
        <rFont val="Arial"/>
        <family val="2"/>
      </rPr>
      <t>2</t>
    </r>
  </si>
  <si>
    <r>
      <t>Separator, m</t>
    </r>
    <r>
      <rPr>
        <vertAlign val="superscript"/>
        <sz val="10"/>
        <rFont val="Arial"/>
        <family val="2"/>
      </rPr>
      <t>2</t>
    </r>
  </si>
  <si>
    <t>Electrolyte , L</t>
  </si>
  <si>
    <t>Positive active material capacity, mAh/g:</t>
  </si>
  <si>
    <r>
      <t>Positive electrode capacity, Ah/cm</t>
    </r>
    <r>
      <rPr>
        <vertAlign val="superscript"/>
        <sz val="10"/>
        <rFont val="Arial"/>
        <family val="2"/>
      </rPr>
      <t>3</t>
    </r>
  </si>
  <si>
    <t>Negative active material capacity, mAh/g:</t>
  </si>
  <si>
    <r>
      <t>Negative electrode capacity, Ah/cm</t>
    </r>
    <r>
      <rPr>
        <vertAlign val="superscript"/>
        <sz val="10"/>
        <rFont val="Arial"/>
        <family val="2"/>
      </rPr>
      <t>3</t>
    </r>
  </si>
  <si>
    <t>Cell Capacity Parameters</t>
  </si>
  <si>
    <t>Cell Voltage and Resistance Parameters</t>
  </si>
  <si>
    <t>Cell mass, g</t>
  </si>
  <si>
    <t>Positive terminal assembly, g</t>
  </si>
  <si>
    <t>Negative terminal assembly, g</t>
  </si>
  <si>
    <t>Battery Input Parameters</t>
  </si>
  <si>
    <t>Balance of Cell</t>
  </si>
  <si>
    <t>Calculated Battery Parameters</t>
  </si>
  <si>
    <t>Balance of module materials</t>
  </si>
  <si>
    <t>Number of batteries manufactured per year</t>
  </si>
  <si>
    <t>Cell yield, %</t>
  </si>
  <si>
    <t>Unit Cell Materials Cost</t>
  </si>
  <si>
    <t>Baseline</t>
  </si>
  <si>
    <t>Positive Electrode, $/kg</t>
  </si>
  <si>
    <t>p</t>
  </si>
  <si>
    <t>Cost per</t>
  </si>
  <si>
    <t>Plus Cost</t>
  </si>
  <si>
    <t xml:space="preserve">     Active Material</t>
  </si>
  <si>
    <t>Mass, $/kg</t>
  </si>
  <si>
    <t>per Cell, $</t>
  </si>
  <si>
    <t>Positive terminal</t>
  </si>
  <si>
    <t xml:space="preserve">     Carbon Black</t>
  </si>
  <si>
    <t>Negative terminal</t>
  </si>
  <si>
    <t xml:space="preserve">     Binder PVDF</t>
  </si>
  <si>
    <t>Cell Container</t>
  </si>
  <si>
    <t xml:space="preserve">     Binder Solvent (NMP)</t>
  </si>
  <si>
    <t>Negative electrode material, $/kg</t>
  </si>
  <si>
    <t>Module state-of-charge regulator</t>
  </si>
  <si>
    <t xml:space="preserve">     Cost per cell, $</t>
  </si>
  <si>
    <t xml:space="preserve">     Plus cost per module, $</t>
  </si>
  <si>
    <r>
      <t>Separators, $/m</t>
    </r>
    <r>
      <rPr>
        <vertAlign val="superscript"/>
        <sz val="10"/>
        <rFont val="Arial"/>
        <family val="2"/>
      </rPr>
      <t>2</t>
    </r>
  </si>
  <si>
    <t>Electrolyte, $/L</t>
  </si>
  <si>
    <t xml:space="preserve">     Plus cost per battery, $</t>
  </si>
  <si>
    <t>Battery Assembly Costs</t>
  </si>
  <si>
    <t>Operation</t>
  </si>
  <si>
    <t>Plant</t>
  </si>
  <si>
    <t>Receiving</t>
  </si>
  <si>
    <t xml:space="preserve">     Pertinent volume: energy/year</t>
  </si>
  <si>
    <t xml:space="preserve">        Direct Labor, hours/year</t>
  </si>
  <si>
    <t xml:space="preserve">     Pertinent volume: cell area/year</t>
  </si>
  <si>
    <t xml:space="preserve">        Capital Equipment, million$</t>
  </si>
  <si>
    <t xml:space="preserve">        Plant Area, square meters</t>
  </si>
  <si>
    <t>Electrode Processing</t>
  </si>
  <si>
    <t>Materials preparation</t>
  </si>
  <si>
    <t xml:space="preserve">     Positive materials</t>
  </si>
  <si>
    <t>Formation Cycling</t>
  </si>
  <si>
    <t>Module Assembly</t>
  </si>
  <si>
    <t>Rejected Cell and Scrap Recycle</t>
  </si>
  <si>
    <t>Shipping</t>
  </si>
  <si>
    <t>Investment Costs</t>
  </si>
  <si>
    <t>Launch Cost rates</t>
  </si>
  <si>
    <t xml:space="preserve">     Percent of direct labor plus variable overhead, %</t>
  </si>
  <si>
    <t>Working capital, percent of annual variable cost, %</t>
  </si>
  <si>
    <t>Unit Cost of Battery Pack</t>
  </si>
  <si>
    <t>Direct labor rate, $/hr</t>
  </si>
  <si>
    <t>Fixed Expenses</t>
  </si>
  <si>
    <t>General, Sales, Administration rates</t>
  </si>
  <si>
    <t xml:space="preserve">     Percent of depreciation, %</t>
  </si>
  <si>
    <t>Research and Development rate, % of depreciation</t>
  </si>
  <si>
    <t>Depreciation rates</t>
  </si>
  <si>
    <r>
      <t xml:space="preserve">Profits After Taxes, </t>
    </r>
    <r>
      <rPr>
        <sz val="10"/>
        <rFont val="Arial"/>
        <family val="2"/>
      </rPr>
      <t>% of investment</t>
    </r>
  </si>
  <si>
    <t>Annual Processing Rates</t>
  </si>
  <si>
    <t>Number of accepted cells per year</t>
  </si>
  <si>
    <t>Number of cells adjusted for yield</t>
  </si>
  <si>
    <t>Direct Materials Costs</t>
  </si>
  <si>
    <t>Yield, %</t>
  </si>
  <si>
    <t xml:space="preserve">     Total</t>
  </si>
  <si>
    <r>
      <t>Positive current collector (aluminum foil), m</t>
    </r>
    <r>
      <rPr>
        <vertAlign val="superscript"/>
        <sz val="10"/>
        <rFont val="Arial"/>
        <family val="2"/>
      </rPr>
      <t>2</t>
    </r>
  </si>
  <si>
    <r>
      <t>Negative current collector (copper foil), m</t>
    </r>
    <r>
      <rPr>
        <vertAlign val="superscript"/>
        <sz val="10"/>
        <rFont val="Arial"/>
        <family val="2"/>
      </rPr>
      <t>2</t>
    </r>
  </si>
  <si>
    <r>
      <t>Separators, m</t>
    </r>
    <r>
      <rPr>
        <vertAlign val="superscript"/>
        <sz val="10"/>
        <rFont val="Arial"/>
        <family val="2"/>
      </rPr>
      <t>2</t>
    </r>
  </si>
  <si>
    <t>Electrolyte, L</t>
  </si>
  <si>
    <t>Annual Cell Materials Rates</t>
  </si>
  <si>
    <t xml:space="preserve">     Active Material, kg</t>
  </si>
  <si>
    <t xml:space="preserve">     Carbon Black, kg</t>
  </si>
  <si>
    <t xml:space="preserve">     Binder PVDF, kg</t>
  </si>
  <si>
    <t>Negative Electrode Material, kg</t>
  </si>
  <si>
    <t xml:space="preserve">     Active Material (graphite), kg</t>
  </si>
  <si>
    <t>Positive terminal assemblies</t>
  </si>
  <si>
    <t>Negative terminal assemblies</t>
  </si>
  <si>
    <t>Cell Containers</t>
  </si>
  <si>
    <t>Unit Cell Materials Costs</t>
  </si>
  <si>
    <t xml:space="preserve">     Positive terminal assembly</t>
  </si>
  <si>
    <t xml:space="preserve">     Negative terminal assembly</t>
  </si>
  <si>
    <t>Positive Electrode (dry)</t>
  </si>
  <si>
    <t>Negative electrode material (dry)</t>
  </si>
  <si>
    <t>Positive current collector (aluminum foil)</t>
  </si>
  <si>
    <t>Negative current collector (copper foil)</t>
  </si>
  <si>
    <t>Separators</t>
  </si>
  <si>
    <t>Electrolyte</t>
  </si>
  <si>
    <t>Positive terminal assembly, $/unit</t>
  </si>
  <si>
    <t>Negative terminal assembly, $/unit</t>
  </si>
  <si>
    <t>Total cost of cell winding materials, $</t>
  </si>
  <si>
    <t>Total cost of cell materials, $</t>
  </si>
  <si>
    <t>Battery 1</t>
  </si>
  <si>
    <t>Battery 2</t>
  </si>
  <si>
    <t>Battery 3</t>
  </si>
  <si>
    <t>Battery 4</t>
  </si>
  <si>
    <t>Battery 5</t>
  </si>
  <si>
    <t>Positive Electrode</t>
  </si>
  <si>
    <t>Active material</t>
  </si>
  <si>
    <t>Density</t>
  </si>
  <si>
    <t>Weight %</t>
  </si>
  <si>
    <t>Vol. %</t>
  </si>
  <si>
    <t>Carbon</t>
  </si>
  <si>
    <t>Binder</t>
  </si>
  <si>
    <t>Void</t>
  </si>
  <si>
    <t>Total</t>
  </si>
  <si>
    <r>
      <t>Electrode system ASI for power, ohm-cm</t>
    </r>
    <r>
      <rPr>
        <vertAlign val="superscript"/>
        <sz val="10"/>
        <rFont val="Arial"/>
        <family val="2"/>
      </rPr>
      <t>2</t>
    </r>
  </si>
  <si>
    <t>Excess negative area, %</t>
  </si>
  <si>
    <t>Current collector welding (number of cells/yr)</t>
  </si>
  <si>
    <t>Electrolyte filling, and cell sealing (number of cells/yr)</t>
  </si>
  <si>
    <t>Formation Cycling (number of cells/yr)</t>
  </si>
  <si>
    <t>Module Assembly (number of cells/yr)</t>
  </si>
  <si>
    <t xml:space="preserve">Rejected Cell and Scrap Recycle (number of cells/yr) </t>
  </si>
  <si>
    <t>Shipping (energy/yr)</t>
  </si>
  <si>
    <t>Launch Costs</t>
  </si>
  <si>
    <t xml:space="preserve">     Rate: 5% of direct annual materials + 10% of other annual costs</t>
  </si>
  <si>
    <t xml:space="preserve">     Total, million$</t>
  </si>
  <si>
    <t xml:space="preserve">Materials and Purchased Items </t>
  </si>
  <si>
    <t xml:space="preserve">     Cell materials</t>
  </si>
  <si>
    <t xml:space="preserve">     Cell purchased Items</t>
  </si>
  <si>
    <t xml:space="preserve">     Electrode processing</t>
  </si>
  <si>
    <t xml:space="preserve">     Cell assembly</t>
  </si>
  <si>
    <t xml:space="preserve">     Module and battery assembly</t>
  </si>
  <si>
    <t xml:space="preserve">     Receiving and shipping</t>
  </si>
  <si>
    <t xml:space="preserve">    Total</t>
  </si>
  <si>
    <t>Variable Overhead</t>
  </si>
  <si>
    <t>Total Variable Cost</t>
  </si>
  <si>
    <t>General, Sales, Administration</t>
  </si>
  <si>
    <t>Research and Development</t>
  </si>
  <si>
    <t>Depreciation</t>
  </si>
  <si>
    <t>Total Fixed Expenses</t>
  </si>
  <si>
    <t>Profits after taxes</t>
  </si>
  <si>
    <t xml:space="preserve">Direct Labor                     </t>
  </si>
  <si>
    <t xml:space="preserve">Variable Overhead  </t>
  </si>
  <si>
    <t xml:space="preserve">Profit     </t>
  </si>
  <si>
    <r>
      <t>Positive current collector foil, $/m</t>
    </r>
    <r>
      <rPr>
        <vertAlign val="superscript"/>
        <sz val="10"/>
        <rFont val="Arial"/>
        <family val="2"/>
      </rPr>
      <t>2</t>
    </r>
  </si>
  <si>
    <r>
      <t>Negative current collector foil, $/m</t>
    </r>
    <r>
      <rPr>
        <vertAlign val="superscript"/>
        <sz val="10"/>
        <rFont val="Arial"/>
        <family val="2"/>
      </rPr>
      <t>2</t>
    </r>
  </si>
  <si>
    <t>Negative Electrode, g</t>
  </si>
  <si>
    <t>Unit Cell Hardware Costs</t>
  </si>
  <si>
    <r>
      <t xml:space="preserve">     Cost, $/m</t>
    </r>
    <r>
      <rPr>
        <vertAlign val="superscript"/>
        <sz val="10"/>
        <rFont val="Arial"/>
        <family val="2"/>
      </rPr>
      <t>2</t>
    </r>
  </si>
  <si>
    <t>Capital equipment cost including installation, mil$</t>
  </si>
  <si>
    <t>Unit Cost of Battery Pack, $</t>
  </si>
  <si>
    <t>Summary of Unit Costs, $</t>
  </si>
  <si>
    <t>Negative-to-positive capacity ratio after formation</t>
  </si>
  <si>
    <t>Summary of Results</t>
  </si>
  <si>
    <t>Manufacturing Cost Calculations</t>
  </si>
  <si>
    <t>Cost Rates for Manufacturing</t>
  </si>
  <si>
    <t>Building, Land and Utilities</t>
  </si>
  <si>
    <t xml:space="preserve">     Building investment, mil$</t>
  </si>
  <si>
    <r>
      <t>Cost of building (including land and utilities), $/m</t>
    </r>
    <r>
      <rPr>
        <vertAlign val="superscript"/>
        <sz val="10"/>
        <rFont val="Arial"/>
        <family val="2"/>
      </rPr>
      <t>2</t>
    </r>
  </si>
  <si>
    <t>Total investment, mil$</t>
  </si>
  <si>
    <t>Nominal battery voltage (OCV at 50% SOC)</t>
  </si>
  <si>
    <t xml:space="preserve">     Pertinent volume: positive active mass/year</t>
  </si>
  <si>
    <t xml:space="preserve">     Pertinent volume: number of cells/year</t>
  </si>
  <si>
    <t xml:space="preserve">     Negative materials</t>
  </si>
  <si>
    <t xml:space="preserve">     Pertinent volume: negative active mass/year</t>
  </si>
  <si>
    <t>Current collector welding</t>
  </si>
  <si>
    <t>Electrode coating</t>
  </si>
  <si>
    <t>Electrolyte filling, and cell sealing</t>
  </si>
  <si>
    <r>
      <t xml:space="preserve">Negative electrode thickness at adjusted % OCV, </t>
    </r>
    <r>
      <rPr>
        <sz val="10"/>
        <rFont val="Symbol"/>
        <family val="1"/>
        <charset val="2"/>
      </rPr>
      <t>m</t>
    </r>
    <r>
      <rPr>
        <sz val="10"/>
        <rFont val="Arial"/>
        <family val="2"/>
      </rPr>
      <t>m</t>
    </r>
  </si>
  <si>
    <t>Calculated Cell Parameters</t>
  </si>
  <si>
    <t>Baseline Manufacturing Rates</t>
  </si>
  <si>
    <t>Balance of module materials, g</t>
  </si>
  <si>
    <t>Cost inputs that vary with cell chemistry</t>
  </si>
  <si>
    <t>Cost inputs that are do not vary with chemistry</t>
  </si>
  <si>
    <t>Area determined at target % OCV</t>
  </si>
  <si>
    <t>Variable Cost</t>
  </si>
  <si>
    <t xml:space="preserve">Area limited by max. allowed electrode thickness, </t>
  </si>
  <si>
    <t>Cell Chemistry Input</t>
  </si>
  <si>
    <t>Battery Performance and Design Input</t>
  </si>
  <si>
    <t>Capacity, Ah</t>
  </si>
  <si>
    <t>Vehicle Electric Range</t>
  </si>
  <si>
    <t>Available battery energy, % of total</t>
  </si>
  <si>
    <t>Vehicle electric range, miles</t>
  </si>
  <si>
    <t>Cell Chemistry</t>
  </si>
  <si>
    <r>
      <t>Density, g/cm</t>
    </r>
    <r>
      <rPr>
        <u/>
        <vertAlign val="superscript"/>
        <sz val="10"/>
        <rFont val="Arial"/>
        <family val="2"/>
      </rPr>
      <t>3</t>
    </r>
  </si>
  <si>
    <t>Negative Electrode</t>
  </si>
  <si>
    <t>Positive Foil</t>
  </si>
  <si>
    <t>Material</t>
  </si>
  <si>
    <t>Negative Foil</t>
  </si>
  <si>
    <r>
      <t xml:space="preserve">Thickness, </t>
    </r>
    <r>
      <rPr>
        <sz val="10"/>
        <rFont val="Symbol"/>
        <family val="1"/>
        <charset val="2"/>
      </rPr>
      <t>m</t>
    </r>
    <r>
      <rPr>
        <sz val="10"/>
        <rFont val="Arial"/>
        <family val="2"/>
      </rPr>
      <t>m</t>
    </r>
  </si>
  <si>
    <t>Separator</t>
  </si>
  <si>
    <t>Aluminum</t>
  </si>
  <si>
    <t>N/P capacity ratio after formation</t>
  </si>
  <si>
    <t>Active material capacity, mAh/g:</t>
  </si>
  <si>
    <r>
      <t xml:space="preserve">Maximum electrode coating thickness, </t>
    </r>
    <r>
      <rPr>
        <sz val="10"/>
        <rFont val="Symbol"/>
        <family val="1"/>
        <charset val="2"/>
      </rPr>
      <t>m</t>
    </r>
    <r>
      <rPr>
        <sz val="10"/>
        <rFont val="Arial"/>
        <family val="2"/>
      </rPr>
      <t>m</t>
    </r>
  </si>
  <si>
    <t>Default Values</t>
  </si>
  <si>
    <t>Other</t>
  </si>
  <si>
    <t>Values</t>
  </si>
  <si>
    <t>Cell Materials Costs</t>
  </si>
  <si>
    <t>Copper</t>
  </si>
  <si>
    <t xml:space="preserve">     Active material</t>
  </si>
  <si>
    <t>Override</t>
  </si>
  <si>
    <t>Override Values</t>
  </si>
  <si>
    <t>Positive Electrode Materials (dry), g</t>
  </si>
  <si>
    <t>Negative Electrode Materials (dry), g</t>
  </si>
  <si>
    <t>Binder solvent recovery, %</t>
  </si>
  <si>
    <t>Effective full days of operation per year</t>
  </si>
  <si>
    <t>Receiving (Energy/yr)</t>
  </si>
  <si>
    <t>Number of annual 8-h shifts</t>
  </si>
  <si>
    <t xml:space="preserve">     Binder Solvent (NMP) makeup, kg</t>
  </si>
  <si>
    <t>Materials</t>
  </si>
  <si>
    <t>Calendering</t>
  </si>
  <si>
    <t>Slitting</t>
  </si>
  <si>
    <t>Materials preparation and delivery to coating</t>
  </si>
  <si>
    <t>Inserting cell in container</t>
  </si>
  <si>
    <t>Battery Pack Assembly and Testing</t>
  </si>
  <si>
    <t>Inter-process materials handling (area/yr)</t>
  </si>
  <si>
    <t>Inserting cell in container (number of cell/yr)</t>
  </si>
  <si>
    <t xml:space="preserve">        Cell Capacity, Ah</t>
  </si>
  <si>
    <t xml:space="preserve">        Baseline Cell Capacity, Ah</t>
  </si>
  <si>
    <t>Energy, kWh per year</t>
  </si>
  <si>
    <r>
      <t>Electrode area, m</t>
    </r>
    <r>
      <rPr>
        <vertAlign val="superscript"/>
        <sz val="10"/>
        <rFont val="Arial"/>
        <family val="2"/>
      </rPr>
      <t>2</t>
    </r>
    <r>
      <rPr>
        <sz val="10"/>
        <rFont val="Arial"/>
        <family val="2"/>
      </rPr>
      <t xml:space="preserve"> per year</t>
    </r>
  </si>
  <si>
    <t>Operation (Pertinent rate)</t>
  </si>
  <si>
    <t xml:space="preserve">     Volume ratio (volume/baseline volume)</t>
  </si>
  <si>
    <t xml:space="preserve">     Positive materials (positive mass/yr)</t>
  </si>
  <si>
    <t xml:space="preserve">     Negative materials (negative mass/yr)</t>
  </si>
  <si>
    <t xml:space="preserve">     Positive materials (area/yr)</t>
  </si>
  <si>
    <t xml:space="preserve">     Negative materials area/yr)</t>
  </si>
  <si>
    <t>Electrode Slitting (area/yr)</t>
  </si>
  <si>
    <t>Total Cell Materials per Accepted Cell</t>
  </si>
  <si>
    <t>Positive electrode material (dry)</t>
  </si>
  <si>
    <t>Materials yield per accepted cell, %</t>
  </si>
  <si>
    <t>Cost Input</t>
  </si>
  <si>
    <t>Open circuit voltage average for discharge, V</t>
  </si>
  <si>
    <t>Cell thickness, mm</t>
  </si>
  <si>
    <t>Cell Dimensions</t>
  </si>
  <si>
    <t>Width of cell, mm</t>
  </si>
  <si>
    <t>Length of cell, mm</t>
  </si>
  <si>
    <r>
      <t xml:space="preserve">     Area, m</t>
    </r>
    <r>
      <rPr>
        <vertAlign val="superscript"/>
        <sz val="10"/>
        <rFont val="Arial"/>
        <family val="2"/>
      </rPr>
      <t>2</t>
    </r>
  </si>
  <si>
    <r>
      <t>Limiting current density, mA/cm</t>
    </r>
    <r>
      <rPr>
        <vertAlign val="superscript"/>
        <sz val="10"/>
        <rFont val="Arial"/>
        <family val="2"/>
      </rPr>
      <t>2</t>
    </r>
  </si>
  <si>
    <t>Limiting C-rate, A/Ah</t>
  </si>
  <si>
    <t>C-rate at full power, A/Ah</t>
  </si>
  <si>
    <r>
      <t>Volume of cell, cm</t>
    </r>
    <r>
      <rPr>
        <vertAlign val="superscript"/>
        <sz val="10"/>
        <rFont val="Arial"/>
        <family val="2"/>
      </rPr>
      <t>3</t>
    </r>
  </si>
  <si>
    <t>Capacity holding</t>
  </si>
  <si>
    <t>Convergence parameter</t>
  </si>
  <si>
    <t>Positive electrode thickness</t>
  </si>
  <si>
    <r>
      <t>Negative electrode cm</t>
    </r>
    <r>
      <rPr>
        <vertAlign val="superscript"/>
        <sz val="10"/>
        <rFont val="Arial"/>
        <family val="2"/>
      </rPr>
      <t>2</t>
    </r>
    <r>
      <rPr>
        <sz val="10"/>
        <rFont val="Arial"/>
        <family val="2"/>
      </rPr>
      <t>/cm</t>
    </r>
    <r>
      <rPr>
        <vertAlign val="superscript"/>
        <sz val="10"/>
        <rFont val="Arial"/>
        <family val="2"/>
      </rPr>
      <t>3</t>
    </r>
  </si>
  <si>
    <r>
      <t>Positive electrode cm</t>
    </r>
    <r>
      <rPr>
        <vertAlign val="superscript"/>
        <sz val="10"/>
        <rFont val="Arial"/>
        <family val="2"/>
      </rPr>
      <t>2</t>
    </r>
    <r>
      <rPr>
        <sz val="10"/>
        <rFont val="Arial"/>
        <family val="2"/>
      </rPr>
      <t>/cm</t>
    </r>
    <r>
      <rPr>
        <vertAlign val="superscript"/>
        <sz val="10"/>
        <rFont val="Arial"/>
        <family val="2"/>
      </rPr>
      <t>3</t>
    </r>
  </si>
  <si>
    <t>Width of terminals, mm</t>
  </si>
  <si>
    <t>Open circuit voltage at 50% SOC, V</t>
  </si>
  <si>
    <t>Solid state diffusion limiting C-rate (10-s), A/Ah</t>
  </si>
  <si>
    <t>Duration of power burst (10 or 2), s</t>
  </si>
  <si>
    <t xml:space="preserve">     At 50% SOC, 2-sec burst</t>
  </si>
  <si>
    <t xml:space="preserve">     At 50% SOC, 10-sec burst</t>
  </si>
  <si>
    <r>
      <t>Density, g/cm</t>
    </r>
    <r>
      <rPr>
        <vertAlign val="superscript"/>
        <sz val="10"/>
        <rFont val="Arial"/>
        <family val="2"/>
      </rPr>
      <t>3</t>
    </r>
  </si>
  <si>
    <t>Module length, mm</t>
  </si>
  <si>
    <t>Module width, mm</t>
  </si>
  <si>
    <t>Module height, mm</t>
  </si>
  <si>
    <t xml:space="preserve">     Carbon</t>
  </si>
  <si>
    <t xml:space="preserve">     Carbon, kg</t>
  </si>
  <si>
    <t xml:space="preserve">Number of cells per module </t>
  </si>
  <si>
    <t>Number of modules in row</t>
  </si>
  <si>
    <t>Battery pack insulation thickness, mm</t>
  </si>
  <si>
    <t>Battery jacket total thickness, mm</t>
  </si>
  <si>
    <t>Solvent recovery</t>
  </si>
  <si>
    <t>Binder solvent (NMP) recovery (kg/yr)</t>
  </si>
  <si>
    <t>Binder solvent</t>
  </si>
  <si>
    <t>NMP</t>
  </si>
  <si>
    <t>Cell stacking (number of cells)</t>
  </si>
  <si>
    <t xml:space="preserve">     Binder Solvent</t>
  </si>
  <si>
    <t>Cell stacking</t>
  </si>
  <si>
    <t>Positive Active  Material</t>
  </si>
  <si>
    <t>Negative Active  Material</t>
  </si>
  <si>
    <t>Carbon and Binders</t>
  </si>
  <si>
    <t>Positive Current Collector</t>
  </si>
  <si>
    <t>Negative Current Collector</t>
  </si>
  <si>
    <t>Cell Hardware</t>
  </si>
  <si>
    <t>Module Hardware</t>
  </si>
  <si>
    <t xml:space="preserve">     Binder Solvent (water)</t>
  </si>
  <si>
    <r>
      <t>Positive current collector, $/m</t>
    </r>
    <r>
      <rPr>
        <vertAlign val="superscript"/>
        <sz val="10"/>
        <rFont val="Arial"/>
        <family val="2"/>
      </rPr>
      <t>2</t>
    </r>
  </si>
  <si>
    <t>Target % OCV at full power</t>
  </si>
  <si>
    <t>Maximum current at full power, A</t>
  </si>
  <si>
    <t>% OCV at full power adjusted for thickness limit</t>
  </si>
  <si>
    <t>ASI Calculation</t>
  </si>
  <si>
    <r>
      <t>Cell area based on total ASI for power, cm</t>
    </r>
    <r>
      <rPr>
        <vertAlign val="superscript"/>
        <sz val="10"/>
        <rFont val="Arial"/>
        <family val="2"/>
      </rPr>
      <t>2</t>
    </r>
  </si>
  <si>
    <r>
      <t xml:space="preserve">Positive electrode thickness at adjusted % OCV, </t>
    </r>
    <r>
      <rPr>
        <sz val="10"/>
        <rFont val="Symbol"/>
        <family val="1"/>
        <charset val="2"/>
      </rPr>
      <t>m</t>
    </r>
    <r>
      <rPr>
        <sz val="10"/>
        <rFont val="Arial"/>
        <family val="2"/>
      </rPr>
      <t>m</t>
    </r>
  </si>
  <si>
    <t>Inter-process Materials Handling</t>
  </si>
  <si>
    <t>Electrode Slitting (positive and negative)</t>
  </si>
  <si>
    <t>Vacuum Drying of Electrodes</t>
  </si>
  <si>
    <t>Control Laboratory</t>
  </si>
  <si>
    <r>
      <t>Dry room operating area, m</t>
    </r>
    <r>
      <rPr>
        <vertAlign val="superscript"/>
        <sz val="10"/>
        <rFont val="Arial"/>
        <family val="2"/>
      </rPr>
      <t>2</t>
    </r>
  </si>
  <si>
    <t xml:space="preserve">     Binder</t>
  </si>
  <si>
    <t>Dry Room Control (operating area, sq. meters)</t>
  </si>
  <si>
    <t>Warranty Cost, % added to price</t>
  </si>
  <si>
    <t>Dry room airlocks and management</t>
  </si>
  <si>
    <t>Length of terminal material, mm</t>
  </si>
  <si>
    <t>Thickness of terminal material, mm</t>
  </si>
  <si>
    <t>Length-to-width ratio for positive electrode</t>
  </si>
  <si>
    <r>
      <t>Total cell ASI for power, ohm-cm</t>
    </r>
    <r>
      <rPr>
        <vertAlign val="superscript"/>
        <sz val="10"/>
        <rFont val="Arial"/>
        <family val="2"/>
      </rPr>
      <t>2</t>
    </r>
  </si>
  <si>
    <t>Current collector resistance parameter, ohms</t>
  </si>
  <si>
    <t>Length of current collector tabs, mm</t>
  </si>
  <si>
    <r>
      <t>Current collector ASI, ohms-cm</t>
    </r>
    <r>
      <rPr>
        <vertAlign val="superscript"/>
        <sz val="10"/>
        <rFont val="Arial"/>
        <family val="2"/>
      </rPr>
      <t>2</t>
    </r>
  </si>
  <si>
    <t>Number of bicell layers (97% packing density)</t>
  </si>
  <si>
    <t>Module state-of-charge regulator assembly, g</t>
  </si>
  <si>
    <t>Module volume, L</t>
  </si>
  <si>
    <t>Top of positive electrode to top of terminal, mm</t>
  </si>
  <si>
    <t xml:space="preserve">     Selected ASI value</t>
  </si>
  <si>
    <t>Select capacity, battery energy, or vehicle range, but only one.</t>
  </si>
  <si>
    <t>Module Parameters</t>
  </si>
  <si>
    <t>Module terminals, if more than one module (each 2.0-cm long), g</t>
  </si>
  <si>
    <t>Cell terminal contact voltage loss, % of cell OCV</t>
  </si>
  <si>
    <r>
      <t xml:space="preserve">Rate of terminal temperature rise at full power, </t>
    </r>
    <r>
      <rPr>
        <vertAlign val="superscript"/>
        <sz val="10"/>
        <rFont val="Arial"/>
        <family val="2"/>
      </rPr>
      <t>o</t>
    </r>
    <r>
      <rPr>
        <sz val="10"/>
        <rFont val="Arial"/>
        <family val="2"/>
      </rPr>
      <t>C/sec</t>
    </r>
  </si>
  <si>
    <t>Module terminal resistance both terminals, ohms</t>
  </si>
  <si>
    <t>Resistance of module interconnects if more than one module, ohms</t>
  </si>
  <si>
    <t xml:space="preserve">Terminal heating factor, W/g </t>
  </si>
  <si>
    <t xml:space="preserve">   Vehicle range (miles)</t>
  </si>
  <si>
    <t>Program for Calculating Performance and Materials Requirements</t>
  </si>
  <si>
    <t>Restart (0/1)</t>
  </si>
  <si>
    <r>
      <t>Maximum current density at full power, mA/cm</t>
    </r>
    <r>
      <rPr>
        <vertAlign val="superscript"/>
        <sz val="10"/>
        <rFont val="Arial"/>
        <family val="2"/>
      </rPr>
      <t>2</t>
    </r>
  </si>
  <si>
    <r>
      <t>Dry room, enclosed operating area, m</t>
    </r>
    <r>
      <rPr>
        <vertAlign val="subscript"/>
        <sz val="10"/>
        <rFont val="Arial"/>
        <family val="2"/>
      </rPr>
      <t>2</t>
    </r>
  </si>
  <si>
    <t xml:space="preserve">     Formation cycling, testing and sealing</t>
  </si>
  <si>
    <t xml:space="preserve">     Control laboratory</t>
  </si>
  <si>
    <t>Void, Vol% %</t>
  </si>
  <si>
    <t xml:space="preserve">     PHEV</t>
  </si>
  <si>
    <t xml:space="preserve">     EV</t>
  </si>
  <si>
    <t xml:space="preserve">     Selected % energy</t>
  </si>
  <si>
    <t>Positive active material, kg per year</t>
  </si>
  <si>
    <t>Negative active material, kg per year</t>
  </si>
  <si>
    <t>Binder solvent, kg per year</t>
  </si>
  <si>
    <t xml:space="preserve">     Pertinent volume: NMP mass/year</t>
  </si>
  <si>
    <t>Mixing</t>
  </si>
  <si>
    <t>Coating</t>
  </si>
  <si>
    <t>Electrode</t>
  </si>
  <si>
    <t>Filling</t>
  </si>
  <si>
    <t>Materials Yields During Processing</t>
  </si>
  <si>
    <t>Thickness of module compression plates (steel), mm</t>
  </si>
  <si>
    <t>Positive binder solvent evaporated, kg</t>
  </si>
  <si>
    <t>Negative binder solvent evaporated, kg</t>
  </si>
  <si>
    <t>Positive binder solvent evaporated, kg per year</t>
  </si>
  <si>
    <t>Negative binder solvent evaporated, kg per year</t>
  </si>
  <si>
    <t xml:space="preserve">     Module</t>
  </si>
  <si>
    <t>Width of positive electrode, mm</t>
  </si>
  <si>
    <t>Length of positive electrode, mm</t>
  </si>
  <si>
    <t>Battery Pack Assembly and Testing, 100,000 Battery Packs per year</t>
  </si>
  <si>
    <t>Summary for Battery Pack</t>
  </si>
  <si>
    <t>Total Direct Labor, hours/year</t>
  </si>
  <si>
    <t>Total Plant Area, square meters</t>
  </si>
  <si>
    <t>Total Capital Equipment, million$</t>
  </si>
  <si>
    <t>Summary for Cost of Modules Only</t>
  </si>
  <si>
    <t>Vehicle type (microHEV, HEV-HP, PHEV, EV)</t>
  </si>
  <si>
    <t xml:space="preserve">     microHEV and HEV-HP</t>
  </si>
  <si>
    <t>Useable battery energy storage, kWh</t>
  </si>
  <si>
    <t>Thickness of cell edge from positive electrode to outside of fold, mm</t>
  </si>
  <si>
    <r>
      <t>Negative current collector, $/m</t>
    </r>
    <r>
      <rPr>
        <vertAlign val="superscript"/>
        <sz val="10"/>
        <rFont val="Arial"/>
        <family val="2"/>
      </rPr>
      <t>2</t>
    </r>
  </si>
  <si>
    <t>Positive current collector</t>
  </si>
  <si>
    <t>Negative current collector</t>
  </si>
  <si>
    <t xml:space="preserve">     Total (dry)</t>
  </si>
  <si>
    <t>Cell Assembly in Dry Room</t>
  </si>
  <si>
    <t xml:space="preserve">     Pertinent volume: dry room operating area, sq. meters</t>
  </si>
  <si>
    <t>Final Cell sealing</t>
  </si>
  <si>
    <t>Charge-Retention Testing</t>
  </si>
  <si>
    <t>Cell container (PET-Al-PP), g</t>
  </si>
  <si>
    <t>Density of cell container, g/cm3</t>
  </si>
  <si>
    <t>Thickness of cell container aluminum layer, µm</t>
  </si>
  <si>
    <t>Thickness of cell container (PET-Al-PP), µm</t>
  </si>
  <si>
    <t>Cell container, $/unit</t>
  </si>
  <si>
    <t xml:space="preserve">     Cell container</t>
  </si>
  <si>
    <t xml:space="preserve">Aluminum thermal conductor </t>
  </si>
  <si>
    <t>$/kWh</t>
  </si>
  <si>
    <t>PHEV</t>
  </si>
  <si>
    <t xml:space="preserve">     Cost per battery, $</t>
  </si>
  <si>
    <t>Power of battery heaters, kW</t>
  </si>
  <si>
    <t xml:space="preserve">Aluminum thermal conductors (each) </t>
  </si>
  <si>
    <t xml:space="preserve">Aluminum thermal conductors/module </t>
  </si>
  <si>
    <t>Cell group interconnects (copper)</t>
  </si>
  <si>
    <t>Total cost per module</t>
  </si>
  <si>
    <t>Cost of Battery Pack Materials and Purchased Items, $</t>
  </si>
  <si>
    <t>Battery Jacket</t>
  </si>
  <si>
    <t>Battery jacket</t>
  </si>
  <si>
    <t>Number of cells in parallel</t>
  </si>
  <si>
    <t>OCV at full power, V</t>
  </si>
  <si>
    <t>Cell capacity</t>
  </si>
  <si>
    <t>Module terminals</t>
  </si>
  <si>
    <t>Terminal resistance factor, A-ohms/cm</t>
  </si>
  <si>
    <t xml:space="preserve">        Number of modules per pack</t>
  </si>
  <si>
    <t>Cell</t>
  </si>
  <si>
    <t>Stacking</t>
  </si>
  <si>
    <t xml:space="preserve">     Cost per battery jacket weight, $/kg</t>
  </si>
  <si>
    <t xml:space="preserve">        Number of modules per Pack</t>
  </si>
  <si>
    <t xml:space="preserve">     Percent of capital equipment investment (6-year rate), %</t>
  </si>
  <si>
    <t xml:space="preserve">     Percent of building investment (20-year rate), % </t>
  </si>
  <si>
    <t>State-of-charge regulator and safety monitors</t>
  </si>
  <si>
    <t>Module Purchased Materials Cost</t>
  </si>
  <si>
    <t>Alum. heat conductor</t>
  </si>
  <si>
    <t>MicroHEV</t>
  </si>
  <si>
    <t>HEV-HP</t>
  </si>
  <si>
    <t>and EV</t>
  </si>
  <si>
    <t>Battery Management System</t>
  </si>
  <si>
    <t>Thermal Controls</t>
  </si>
  <si>
    <t>Module controls, $/module</t>
  </si>
  <si>
    <t>Current and voltage sensing, $</t>
  </si>
  <si>
    <t>Battery terminals</t>
  </si>
  <si>
    <t>Module compression plates and steel straps</t>
  </si>
  <si>
    <t>Electrode Coating Thickness Calculation</t>
  </si>
  <si>
    <t>Auto. battery disconnect, $</t>
  </si>
  <si>
    <t>Manual disconnect, $</t>
  </si>
  <si>
    <t xml:space="preserve">     Plus cost per interconnect, $</t>
  </si>
  <si>
    <t>Battery current and voltage sensing, $</t>
  </si>
  <si>
    <t>Module controls</t>
  </si>
  <si>
    <t>Automatic battery disconnect, $</t>
  </si>
  <si>
    <t>Total cost of battery management system</t>
  </si>
  <si>
    <t xml:space="preserve">     Battery pack</t>
  </si>
  <si>
    <t>Price to OEM for battery pack, $</t>
  </si>
  <si>
    <t xml:space="preserve">Carbon </t>
  </si>
  <si>
    <t xml:space="preserve">     % of direct labor</t>
  </si>
  <si>
    <t>Variable overhead rate</t>
  </si>
  <si>
    <t>Battery Pack Total</t>
  </si>
  <si>
    <t>Volume, L</t>
  </si>
  <si>
    <t>System</t>
  </si>
  <si>
    <t>Cost of Pack Integration (BMS &amp; Disconnects)</t>
  </si>
  <si>
    <t>Battery power at target % OCV and SOC, kW</t>
  </si>
  <si>
    <t>Voltage drop for bus bar for packs with one row of modules, V</t>
  </si>
  <si>
    <t>Thermal Management System</t>
  </si>
  <si>
    <t>Hardware Costs, $/unit</t>
  </si>
  <si>
    <t>Module wall material</t>
  </si>
  <si>
    <t>Battery Purchased Materials Cost</t>
  </si>
  <si>
    <t>Module compression plates and steel straps, $,kg</t>
  </si>
  <si>
    <t xml:space="preserve">     Plus cost per capacity, $/A (rounded up)</t>
  </si>
  <si>
    <t>Module Inter-connectors and signal wiring</t>
  </si>
  <si>
    <t>Coolant space above and below modules, mm</t>
  </si>
  <si>
    <t xml:space="preserve">     Plus cost per capacity, $/Ah</t>
  </si>
  <si>
    <t xml:space="preserve">     Cost per mass, $/kg</t>
  </si>
  <si>
    <t xml:space="preserve">   (or thermal group enclosure)</t>
  </si>
  <si>
    <t xml:space="preserve">     Cell and materials rejection and recycling</t>
  </si>
  <si>
    <t xml:space="preserve">     % of depreciation</t>
  </si>
  <si>
    <r>
      <t xml:space="preserve">Positive electrode thickness parameter, </t>
    </r>
    <r>
      <rPr>
        <sz val="10"/>
        <rFont val="Symbol"/>
        <family val="1"/>
        <charset val="2"/>
      </rPr>
      <t>m</t>
    </r>
    <r>
      <rPr>
        <sz val="10"/>
        <rFont val="Arial"/>
        <family val="2"/>
      </rPr>
      <t>m</t>
    </r>
  </si>
  <si>
    <r>
      <t xml:space="preserve">Negative electrode thickness parameter, </t>
    </r>
    <r>
      <rPr>
        <sz val="10"/>
        <rFont val="Symbol"/>
        <family val="1"/>
        <charset val="2"/>
      </rPr>
      <t>m</t>
    </r>
    <r>
      <rPr>
        <sz val="10"/>
        <rFont val="Arial"/>
        <family val="2"/>
      </rPr>
      <t>m</t>
    </r>
  </si>
  <si>
    <t>Final Cell Sealing (number of cells/yr)</t>
  </si>
  <si>
    <t>Maximum allowable ASI for limiting capacity</t>
  </si>
  <si>
    <r>
      <t xml:space="preserve">Default maximum allowable electrode coating thickness, </t>
    </r>
    <r>
      <rPr>
        <sz val="10"/>
        <rFont val="Symbol"/>
        <family val="1"/>
        <charset val="2"/>
      </rPr>
      <t>m</t>
    </r>
    <r>
      <rPr>
        <sz val="10"/>
        <rFont val="Arial"/>
        <family val="2"/>
      </rPr>
      <t>m</t>
    </r>
  </si>
  <si>
    <t>Capacity estimating parameter</t>
  </si>
  <si>
    <t>Wh/kg</t>
  </si>
  <si>
    <t>Module wall thickness, mm</t>
  </si>
  <si>
    <t>Thickness of pack extensions for air-cooled packs, mm</t>
  </si>
  <si>
    <t>Total volume of pack extensions for air-cooled packs, L</t>
  </si>
  <si>
    <t>Battery pack length (A dimension), mm</t>
  </si>
  <si>
    <t>Battery pack width (B dimension), mm</t>
  </si>
  <si>
    <t>Battery pack height (C dimension), mm</t>
  </si>
  <si>
    <r>
      <rPr>
        <b/>
        <sz val="10"/>
        <rFont val="Arial"/>
        <family val="2"/>
      </rPr>
      <t>BatPaC  (Battery Performance and Cost Model) SOFTWARE COPYRIGHT NOTIFICATION</t>
    </r>
    <r>
      <rPr>
        <sz val="10"/>
        <rFont val="Arial"/>
        <family val="2"/>
      </rPr>
      <t xml:space="preserve">
© COPYRIGHT 2011 UCHICAGO ARGONNE, LLC    All rights reserved.  The BatPaC, Version 2.0 and 1.0 software, manual and supporting documentation are protectable under copyright laws of the United States.
NEITHER THE UNITED STATES GOVERNMENT NOR ANY AGENCY THEREOF, NOR THE UCHICAGO ARGONNE, LLC, NOR ANY OF THEIR EMPLOYEES, MAKES ANY WARRANTY, EXPRESS OR IMPLIED, OR ASSUMES ANY LEGAL LIABILITY OR RESPONSIBILITY FOR THE ACCURACY, COMPLETENESS, OR USEFULNESS OF ANY INFORMATION, APPARATUS, PRODUCT, OR PROCESS DISCLOSED, OR REPRESENTS THAT ITS USE WOULD NOT INFRINGE PRIVATELY OWNED RIGHTS.
Paul Nelson, Kevin Gallagher, and Ira Bloom 
Chemical Science and Engineering Division
Argonne National Laboratory
9700 S. Cass Ave, Lemont, IL 60439
www.cse.anl.gov/batpac</t>
    </r>
  </si>
  <si>
    <t>Number of modules in parallel</t>
  </si>
  <si>
    <t>Number of battery packs manufactured per year</t>
  </si>
  <si>
    <t>Total unit cost per pack not including warranty, $</t>
  </si>
  <si>
    <t>Bus bar for packs with one row of modules or</t>
  </si>
  <si>
    <t xml:space="preserve">     multiple modules or packs in parallel, $ each</t>
  </si>
  <si>
    <t>Bus bar for battery packs with one row of modules</t>
  </si>
  <si>
    <t>Bus bars for interconnecting multiple battery packs</t>
  </si>
  <si>
    <t>Bus bars for battery packs with parallel modules</t>
  </si>
  <si>
    <t>Additional for parallel modules and packs, $ per string</t>
  </si>
  <si>
    <t>Charge Retention Testing (number of cells/yr)</t>
  </si>
  <si>
    <t>Cell capacity, Ah</t>
  </si>
  <si>
    <t>Energy requirement of battery pack, Wh/mile</t>
  </si>
  <si>
    <t>Calculated Battery Pack Parameters</t>
  </si>
  <si>
    <t>Total battery pack energy storage, kWh</t>
  </si>
  <si>
    <t>Number of battery packs</t>
  </si>
  <si>
    <t>Battery system total energy storage, kWh</t>
  </si>
  <si>
    <t>Battery system power at target % OCV, kW</t>
  </si>
  <si>
    <t>Required battery system power, kW</t>
  </si>
  <si>
    <t>EG-W</t>
  </si>
  <si>
    <t>Number of rows of modules per pack</t>
  </si>
  <si>
    <t>Number of modules per battery pack</t>
  </si>
  <si>
    <t>Cells per battery pack</t>
  </si>
  <si>
    <t>Total cells per battery system</t>
  </si>
  <si>
    <t>Battery pack power, kW</t>
  </si>
  <si>
    <t>Module capacity, Ah</t>
  </si>
  <si>
    <t>Additions to AC system**, $/kW</t>
  </si>
  <si>
    <t>**No charge for cabin air cooling</t>
  </si>
  <si>
    <t>Baseline thermal system*, $</t>
  </si>
  <si>
    <t>Total cost of materials for cells and battery pack, $</t>
  </si>
  <si>
    <t>Manual disconnect per pack, $</t>
  </si>
  <si>
    <r>
      <t>Cell terminal and connection ASI, ohms-cm</t>
    </r>
    <r>
      <rPr>
        <vertAlign val="superscript"/>
        <sz val="10"/>
        <rFont val="Arial"/>
        <family val="2"/>
      </rPr>
      <t>2</t>
    </r>
  </si>
  <si>
    <t>Resistance of module and pack hardware per cell, ohms</t>
  </si>
  <si>
    <t>Resistance of module and pack per module, ohms</t>
  </si>
  <si>
    <t>Pack Capacity Calculation</t>
  </si>
  <si>
    <t xml:space="preserve">   Pack capacity (Ah)</t>
  </si>
  <si>
    <t xml:space="preserve">   Pack energy (kWh)</t>
  </si>
  <si>
    <r>
      <t xml:space="preserve">Positive electrode thickness, if at maximum , </t>
    </r>
    <r>
      <rPr>
        <sz val="10"/>
        <rFont val="Symbol"/>
        <family val="1"/>
        <charset val="2"/>
      </rPr>
      <t>m</t>
    </r>
    <r>
      <rPr>
        <sz val="10"/>
        <rFont val="Arial"/>
        <family val="2"/>
      </rPr>
      <t>m</t>
    </r>
  </si>
  <si>
    <r>
      <t xml:space="preserve">     Solvent evaporated, kg/m</t>
    </r>
    <r>
      <rPr>
        <vertAlign val="superscript"/>
        <sz val="10"/>
        <rFont val="Arial"/>
        <family val="2"/>
      </rPr>
      <t>2</t>
    </r>
    <r>
      <rPr>
        <sz val="10"/>
        <rFont val="Arial"/>
        <family val="2"/>
      </rPr>
      <t>yr</t>
    </r>
  </si>
  <si>
    <t>Working capital (15% of annual variable costs), mil$</t>
  </si>
  <si>
    <t>Direct Labor at</t>
  </si>
  <si>
    <t>$/hour</t>
  </si>
  <si>
    <t>Basic Cost Factors</t>
  </si>
  <si>
    <t>Total cost per battery pack</t>
  </si>
  <si>
    <t>Additional for multiple packs, $/additional pack</t>
  </si>
  <si>
    <t>Number of packs per vehicle (parallel or series)</t>
  </si>
  <si>
    <t xml:space="preserve">     Packs in series or parallel</t>
  </si>
  <si>
    <t>Nominal battery system voltage (OCV at 50% SOC),V</t>
  </si>
  <si>
    <t xml:space="preserve">     At 20% SOC range, 10-sec burst</t>
  </si>
  <si>
    <t>Battery 6</t>
  </si>
  <si>
    <t>Battery 7</t>
  </si>
  <si>
    <t>ASI correction factor</t>
  </si>
  <si>
    <r>
      <t>Electrode system ASI for power at SOC for vehicle type, ohm-cm</t>
    </r>
    <r>
      <rPr>
        <vertAlign val="superscript"/>
        <sz val="10"/>
        <rFont val="Arial"/>
        <family val="2"/>
      </rPr>
      <t>2</t>
    </r>
  </si>
  <si>
    <t>Cell Materials Cost, $/cell</t>
  </si>
  <si>
    <t>Cost of Module Materials and Purchased Items, $/module</t>
  </si>
  <si>
    <t>Pack heat transfer fluid (EG-W, CA, CoolA )</t>
  </si>
  <si>
    <t>Battery system capacity, Ah</t>
  </si>
  <si>
    <t xml:space="preserve">Cell group capacity </t>
  </si>
  <si>
    <t>Pack capacity, Ah</t>
  </si>
  <si>
    <t>Baseeline Plant Summary</t>
  </si>
  <si>
    <t>Total battery cost to OEM, $</t>
  </si>
  <si>
    <t>Pack integration (BMS &amp; Disconnects), $/pack</t>
  </si>
  <si>
    <t xml:space="preserve">Selected </t>
  </si>
  <si>
    <t>Cost</t>
  </si>
  <si>
    <t>Battery system volume (all packs), L</t>
  </si>
  <si>
    <t xml:space="preserve">Purchased Items </t>
  </si>
  <si>
    <t>Cell group capacity, Ah</t>
  </si>
  <si>
    <t>Battery pack capacity, Ah</t>
  </si>
  <si>
    <t>Number of cells per pack</t>
  </si>
  <si>
    <t>Mass of each cell group interconnect (copper), g</t>
  </si>
  <si>
    <t>Module mass, kg</t>
  </si>
  <si>
    <t>Mass of each module inter-connect (5-cm long), g</t>
  </si>
  <si>
    <t>Mass of module compression plates and steel straps, g</t>
  </si>
  <si>
    <t>Warranty (includes battery pack(s) only)</t>
  </si>
  <si>
    <t>Resistance of battery pack terminals</t>
  </si>
  <si>
    <t xml:space="preserve">     Potential positive error, %</t>
  </si>
  <si>
    <t xml:space="preserve">     Potential negative error, %</t>
  </si>
  <si>
    <t>Negative-to-positive electrode thickness ratio</t>
  </si>
  <si>
    <t>Module resistance , ohms</t>
  </si>
  <si>
    <r>
      <t>Total cell hardware and battery ASI, ohm-cm</t>
    </r>
    <r>
      <rPr>
        <vertAlign val="superscript"/>
        <sz val="10"/>
        <rFont val="Arial"/>
        <family val="2"/>
      </rPr>
      <t>2</t>
    </r>
  </si>
  <si>
    <t>Mass of battery pack and integration unit, kg</t>
  </si>
  <si>
    <t>Battery system mass (all packs), kg</t>
  </si>
  <si>
    <t>Energy requirement of vehicle on UDDS cycle (default = 250), Wh/mile</t>
  </si>
  <si>
    <t>Estimated Total Battery Cost to OEM, US$</t>
  </si>
  <si>
    <t>EV</t>
  </si>
  <si>
    <t>Battery 8</t>
  </si>
  <si>
    <t>Battery 9</t>
  </si>
  <si>
    <r>
      <t xml:space="preserve">Negative electrode thickness, if at maximum , </t>
    </r>
    <r>
      <rPr>
        <sz val="10"/>
        <rFont val="Symbol"/>
        <family val="1"/>
        <charset val="2"/>
      </rPr>
      <t>m</t>
    </r>
    <r>
      <rPr>
        <sz val="10"/>
        <rFont val="Arial"/>
        <family val="2"/>
      </rPr>
      <t>m</t>
    </r>
  </si>
  <si>
    <r>
      <t xml:space="preserve">Thickest electrode, </t>
    </r>
    <r>
      <rPr>
        <sz val="10"/>
        <rFont val="Symbol"/>
        <family val="1"/>
        <charset val="2"/>
      </rPr>
      <t>m</t>
    </r>
    <r>
      <rPr>
        <sz val="10"/>
        <rFont val="Arial"/>
        <family val="2"/>
      </rPr>
      <t>m</t>
    </r>
  </si>
  <si>
    <t>Length of pack extensions for air cooled packs, mm</t>
  </si>
  <si>
    <t>*$60 additional for each added pack</t>
  </si>
  <si>
    <t>Battery System Values</t>
  </si>
  <si>
    <t>Power, kW</t>
  </si>
  <si>
    <t>Wh/L</t>
  </si>
  <si>
    <t>Power - net, average</t>
  </si>
  <si>
    <t>(kPa)</t>
  </si>
  <si>
    <t>Additional for parallel modules and multiple packs, $</t>
  </si>
  <si>
    <t>Error bars on price to OEM for battery pack, %</t>
  </si>
  <si>
    <t xml:space="preserve">     Parallel packs (P) or series (S)</t>
  </si>
  <si>
    <t>Materials and Purchased Items Summary, $/Pack</t>
  </si>
  <si>
    <t>Power - max gross</t>
  </si>
  <si>
    <t>Power - ave gross</t>
  </si>
  <si>
    <t>Building, land, utilities (100K packs/yr*)</t>
  </si>
  <si>
    <t>Materials and purchased items, $/pack</t>
  </si>
  <si>
    <t>Direct labor, $/pack</t>
  </si>
  <si>
    <t>Cost Breakdown Analysis</t>
  </si>
  <si>
    <t>OCV at  20% SOC , V</t>
  </si>
  <si>
    <t>(m2)</t>
  </si>
  <si>
    <r>
      <t>Electrolyte density, g/cm</t>
    </r>
    <r>
      <rPr>
        <b/>
        <vertAlign val="superscript"/>
        <sz val="11"/>
        <rFont val="Arial"/>
        <family val="2"/>
      </rPr>
      <t>3</t>
    </r>
  </si>
  <si>
    <t>Parameters for Finished Cell</t>
  </si>
  <si>
    <r>
      <t>Cell Area Calculation, cm</t>
    </r>
    <r>
      <rPr>
        <b/>
        <vertAlign val="superscript"/>
        <sz val="11"/>
        <rFont val="Arial"/>
        <family val="2"/>
      </rPr>
      <t>2</t>
    </r>
  </si>
  <si>
    <t>Multipliers for Overhead to Basic Costs</t>
  </si>
  <si>
    <t>Multiplier</t>
  </si>
  <si>
    <t>Number of 8-hr shifts per day (2 for shipping and receiving)</t>
  </si>
  <si>
    <t>Iterate (1 = yes, 0 = reset)</t>
  </si>
  <si>
    <t>Target pressure drop</t>
  </si>
  <si>
    <t>(cm2)</t>
  </si>
  <si>
    <t>Aspect Ratio</t>
  </si>
  <si>
    <t>(length/width)</t>
  </si>
  <si>
    <t>(um) - 1/2 stamping depth or DM thickness</t>
  </si>
  <si>
    <t>DM Darcy</t>
  </si>
  <si>
    <t>(10^-12 m2)</t>
  </si>
  <si>
    <t>DM Aerial weight</t>
  </si>
  <si>
    <t>(g/m2)</t>
  </si>
  <si>
    <t>Pack integration unit (BMS &amp; disconnects), L</t>
  </si>
  <si>
    <t>Pack integration unit (BMS &amp; disconnects, ave. density = 1.0), kg</t>
  </si>
  <si>
    <t>Volume of battery pack and integration unit, L</t>
  </si>
  <si>
    <t>Battery system weight (all packs), kg</t>
  </si>
  <si>
    <t>Battery  Pack Integration System</t>
  </si>
  <si>
    <t xml:space="preserve">     Percent of direct annual materials and purch.items cost, %</t>
  </si>
  <si>
    <t>Heating system**, $/kW/pack</t>
  </si>
  <si>
    <t>Mass, kg</t>
  </si>
  <si>
    <t>Packaging</t>
  </si>
  <si>
    <t>Seal</t>
  </si>
  <si>
    <t>(mm)</t>
  </si>
  <si>
    <t>Mass of bus bar for packs with one row of modules, g</t>
  </si>
  <si>
    <t>Mass of battery pack heaters (0.1 kg/kW), kg</t>
  </si>
  <si>
    <t>Battery coolant mass within jacket, kg</t>
  </si>
  <si>
    <r>
      <t>Battery jacket mass parameter, g/cm</t>
    </r>
    <r>
      <rPr>
        <vertAlign val="superscript"/>
        <sz val="10"/>
        <rFont val="Arial"/>
        <family val="2"/>
      </rPr>
      <t>2</t>
    </r>
  </si>
  <si>
    <t>Total mass of pack extensions for air-cooled packs, kg</t>
  </si>
  <si>
    <t>Battery jacket mass, kg</t>
  </si>
  <si>
    <t>layer thickness</t>
  </si>
  <si>
    <t>Total Volume Flow</t>
  </si>
  <si>
    <t>(kg/m3)</t>
  </si>
  <si>
    <t>Area</t>
  </si>
  <si>
    <t>Header Velocity</t>
  </si>
  <si>
    <t>(m/s)</t>
  </si>
  <si>
    <t>Header Dynamic</t>
  </si>
  <si>
    <t>Ratio to Flow Field</t>
  </si>
  <si>
    <t>Air delivery manifold</t>
  </si>
  <si>
    <t>H</t>
  </si>
  <si>
    <t>Battery 10</t>
  </si>
  <si>
    <t>Constants</t>
  </si>
  <si>
    <t>Ru</t>
  </si>
  <si>
    <t>(J/molK)</t>
  </si>
  <si>
    <t>F</t>
  </si>
  <si>
    <t>(A-s/e-mol)</t>
  </si>
  <si>
    <t>n</t>
  </si>
  <si>
    <t>(e-mol/O2-mol)</t>
  </si>
  <si>
    <t>XO2</t>
  </si>
  <si>
    <t>(O2/air mol)</t>
  </si>
  <si>
    <t>Inputs</t>
  </si>
  <si>
    <t>Power - net</t>
  </si>
  <si>
    <t>(kW)</t>
  </si>
  <si>
    <t>(kWhr)</t>
  </si>
  <si>
    <t>delta SOC</t>
  </si>
  <si>
    <t>(%)</t>
  </si>
  <si>
    <t>Compressor ave power</t>
  </si>
  <si>
    <t>Design cell to meet rated gross power at 80% of OCV at end of discharge</t>
  </si>
  <si>
    <t>Total pack energy</t>
  </si>
  <si>
    <t>kWh</t>
  </si>
  <si>
    <t>Total pack power</t>
  </si>
  <si>
    <t>kW</t>
  </si>
  <si>
    <t>T amb</t>
  </si>
  <si>
    <t>(C)</t>
  </si>
  <si>
    <t>T battery</t>
  </si>
  <si>
    <t>Stoich</t>
  </si>
  <si>
    <t>input</t>
  </si>
  <si>
    <t>Pack</t>
  </si>
  <si>
    <t>Iterate positive (1 = yes, 0 = reset)</t>
  </si>
  <si>
    <t>Warning</t>
  </si>
  <si>
    <t>Impedance source</t>
  </si>
  <si>
    <t>units</t>
  </si>
  <si>
    <t>Current collector</t>
  </si>
  <si>
    <t>Capital equipment (100K packs/yr*)</t>
  </si>
  <si>
    <t>*For other production rates multiply by 100,000/rate</t>
  </si>
  <si>
    <t>Outputs (for other sections)</t>
  </si>
  <si>
    <t>Energy - EC</t>
  </si>
  <si>
    <r>
      <t>Conduction of Li</t>
    </r>
    <r>
      <rPr>
        <vertAlign val="superscript"/>
        <sz val="11"/>
        <color theme="1"/>
        <rFont val="Calibri"/>
        <family val="2"/>
        <scheme val="minor"/>
      </rPr>
      <t>+</t>
    </r>
    <r>
      <rPr>
        <sz val="10"/>
        <rFont val="Arial"/>
        <family val="2"/>
      </rPr>
      <t xml:space="preserve"> through ceramic</t>
    </r>
  </si>
  <si>
    <t xml:space="preserve">  Thickness</t>
  </si>
  <si>
    <r>
      <t xml:space="preserve">  Bulk ionic conductivity, </t>
    </r>
    <r>
      <rPr>
        <sz val="11"/>
        <color indexed="8"/>
        <rFont val="Symbol"/>
        <family val="1"/>
        <charset val="2"/>
      </rPr>
      <t>k</t>
    </r>
  </si>
  <si>
    <t>S/cm</t>
  </si>
  <si>
    <t>Ceramic intercalation kinetics</t>
  </si>
  <si>
    <t>Charge transfer between liquid electroltye and solid ceramic electrolyte</t>
  </si>
  <si>
    <t>Positive porous electrode</t>
  </si>
  <si>
    <t>Compression resiliant carbon felt-like composite electrode material</t>
  </si>
  <si>
    <r>
      <t xml:space="preserve">  Discharged volume fraction, </t>
    </r>
    <r>
      <rPr>
        <sz val="11"/>
        <color indexed="8"/>
        <rFont val="Symbol"/>
        <family val="1"/>
        <charset val="2"/>
      </rPr>
      <t>e</t>
    </r>
  </si>
  <si>
    <t>Current Collectors</t>
  </si>
  <si>
    <t>(-) thickness</t>
  </si>
  <si>
    <t>(um)</t>
  </si>
  <si>
    <t>(+) thickness</t>
  </si>
  <si>
    <t>calcs</t>
  </si>
  <si>
    <t>Flow Field</t>
  </si>
  <si>
    <t xml:space="preserve"> Test for Tafel applicability</t>
  </si>
  <si>
    <t xml:space="preserve"> Newman and Tobias expression</t>
  </si>
  <si>
    <t>Tafel kinetics</t>
  </si>
  <si>
    <r>
      <t xml:space="preserve">    Exchange current, i</t>
    </r>
    <r>
      <rPr>
        <vertAlign val="subscript"/>
        <sz val="11"/>
        <color theme="1"/>
        <rFont val="Calibri"/>
        <family val="2"/>
        <scheme val="minor"/>
      </rPr>
      <t>0</t>
    </r>
  </si>
  <si>
    <r>
      <t xml:space="preserve">    Transfer coefficent, </t>
    </r>
    <r>
      <rPr>
        <sz val="11"/>
        <color indexed="8"/>
        <rFont val="Symbol"/>
        <family val="1"/>
        <charset val="2"/>
      </rPr>
      <t>a</t>
    </r>
  </si>
  <si>
    <r>
      <t xml:space="preserve">    (1-</t>
    </r>
    <r>
      <rPr>
        <sz val="11"/>
        <color indexed="8"/>
        <rFont val="Symbol"/>
        <family val="1"/>
        <charset val="2"/>
      </rPr>
      <t>a</t>
    </r>
    <r>
      <rPr>
        <sz val="10"/>
        <rFont val="Arial"/>
        <family val="2"/>
      </rPr>
      <t xml:space="preserve">)F/RT, </t>
    </r>
    <r>
      <rPr>
        <sz val="11"/>
        <color indexed="8"/>
        <rFont val="Symbol"/>
        <family val="1"/>
        <charset val="2"/>
      </rPr>
      <t>b</t>
    </r>
  </si>
  <si>
    <t>1/V</t>
  </si>
  <si>
    <r>
      <t xml:space="preserve">    Dimensionless current, </t>
    </r>
    <r>
      <rPr>
        <sz val="11"/>
        <color indexed="8"/>
        <rFont val="Symbol"/>
        <family val="1"/>
        <charset val="2"/>
      </rPr>
      <t>d</t>
    </r>
  </si>
  <si>
    <t>N/A</t>
  </si>
  <si>
    <r>
      <t xml:space="preserve">    Epsilon, </t>
    </r>
    <r>
      <rPr>
        <sz val="11"/>
        <color indexed="8"/>
        <rFont val="Symbol"/>
        <family val="1"/>
        <charset val="2"/>
      </rPr>
      <t>e</t>
    </r>
  </si>
  <si>
    <t>DM cost</t>
  </si>
  <si>
    <t>($/m2)</t>
  </si>
  <si>
    <t>Flow Field type</t>
  </si>
  <si>
    <t>(stamped or DM)</t>
  </si>
  <si>
    <t>stamped</t>
  </si>
  <si>
    <t>air viscosity</t>
  </si>
  <si>
    <t>(Pa-s)</t>
  </si>
  <si>
    <t>O2 in</t>
  </si>
  <si>
    <t>(mol/s/footprint)</t>
  </si>
  <si>
    <t>Number of modules per pack</t>
  </si>
  <si>
    <t>dP stamped</t>
  </si>
  <si>
    <t>dP DM</t>
  </si>
  <si>
    <t>Overpotential as function of cell region</t>
  </si>
  <si>
    <t>LEAVE</t>
  </si>
  <si>
    <t>BLANK</t>
  </si>
  <si>
    <r>
      <t>Li</t>
    </r>
    <r>
      <rPr>
        <b/>
        <vertAlign val="subscript"/>
        <sz val="12"/>
        <rFont val="Arial"/>
        <family val="2"/>
      </rPr>
      <t>2</t>
    </r>
    <r>
      <rPr>
        <b/>
        <sz val="12"/>
        <rFont val="Arial"/>
        <family val="2"/>
      </rPr>
      <t>O</t>
    </r>
    <r>
      <rPr>
        <b/>
        <vertAlign val="subscript"/>
        <sz val="12"/>
        <rFont val="Arial"/>
        <family val="2"/>
      </rPr>
      <t>2</t>
    </r>
    <r>
      <rPr>
        <b/>
        <sz val="12"/>
        <rFont val="Arial"/>
        <family val="2"/>
      </rPr>
      <t>-Li</t>
    </r>
  </si>
  <si>
    <t>Total DM area</t>
  </si>
  <si>
    <t>W</t>
  </si>
  <si>
    <t>(cm)</t>
  </si>
  <si>
    <t>L</t>
  </si>
  <si>
    <t>Wcc/W</t>
  </si>
  <si>
    <t>Air Headers (and gap)</t>
  </si>
  <si>
    <t>Coolant Headers (and gap)</t>
  </si>
  <si>
    <t>Battery Gas Delivery System</t>
  </si>
  <si>
    <t>Calculated pack power at V/U</t>
  </si>
  <si>
    <t>Compressor</t>
  </si>
  <si>
    <t>Compressor efficiency</t>
  </si>
  <si>
    <t>cp (J/gK)</t>
  </si>
  <si>
    <t>(J/gK)</t>
  </si>
  <si>
    <t>gama</t>
  </si>
  <si>
    <t>O2 max</t>
  </si>
  <si>
    <t>(mol/s)</t>
  </si>
  <si>
    <t>N2 max</t>
  </si>
  <si>
    <t>Flow max</t>
  </si>
  <si>
    <t>(g/s)</t>
  </si>
  <si>
    <t>Compressor max power</t>
  </si>
  <si>
    <t>O2 ave</t>
  </si>
  <si>
    <t>N2 ave</t>
  </si>
  <si>
    <t>Flow ave</t>
  </si>
  <si>
    <t>Battery volume (all packs), L</t>
  </si>
  <si>
    <t>Battery mass (all packs), kg</t>
  </si>
  <si>
    <t>Total system, kg</t>
  </si>
  <si>
    <t>Total system, L</t>
  </si>
  <si>
    <t>Total cost for gas delivery</t>
  </si>
  <si>
    <t>Loading, mAh/cm2</t>
  </si>
  <si>
    <t>Total system price</t>
  </si>
  <si>
    <t>$/kg</t>
  </si>
  <si>
    <t>g/cm3</t>
  </si>
  <si>
    <t>t (um)</t>
  </si>
  <si>
    <t>$/m2</t>
  </si>
  <si>
    <t>Number of cells</t>
  </si>
  <si>
    <t>Pack area required</t>
  </si>
  <si>
    <r>
      <t>m</t>
    </r>
    <r>
      <rPr>
        <vertAlign val="superscript"/>
        <sz val="11"/>
        <color theme="1"/>
        <rFont val="Calibri"/>
        <family val="2"/>
        <scheme val="minor"/>
      </rPr>
      <t>2</t>
    </r>
  </si>
  <si>
    <t>Thermodynamic cell voltage, U</t>
  </si>
  <si>
    <t>V</t>
  </si>
  <si>
    <t>Cell area</t>
  </si>
  <si>
    <r>
      <t>cm</t>
    </r>
    <r>
      <rPr>
        <vertAlign val="superscript"/>
        <sz val="11"/>
        <color theme="1"/>
        <rFont val="Calibri"/>
        <family val="2"/>
        <scheme val="minor"/>
      </rPr>
      <t>2</t>
    </r>
  </si>
  <si>
    <t>Parasitic Power - peak</t>
  </si>
  <si>
    <t>match</t>
  </si>
  <si>
    <t>Parasitic Power - average</t>
  </si>
  <si>
    <r>
      <t>A/cm</t>
    </r>
    <r>
      <rPr>
        <vertAlign val="superscript"/>
        <sz val="11"/>
        <color theme="1"/>
        <rFont val="Calibri"/>
        <family val="2"/>
        <scheme val="minor"/>
      </rPr>
      <t>2</t>
    </r>
  </si>
  <si>
    <t>V/U</t>
  </si>
  <si>
    <t xml:space="preserve">  Calc current at rated power</t>
  </si>
  <si>
    <t xml:space="preserve">  Calc cell voltage for energy</t>
  </si>
  <si>
    <t>Capacity, C</t>
  </si>
  <si>
    <r>
      <t>mAh/cm</t>
    </r>
    <r>
      <rPr>
        <vertAlign val="superscript"/>
        <sz val="11"/>
        <color theme="1"/>
        <rFont val="Calibri"/>
        <family val="2"/>
        <scheme val="minor"/>
      </rPr>
      <t>2</t>
    </r>
  </si>
  <si>
    <t>Iterate current (1 = yes, 0 = reset)</t>
  </si>
  <si>
    <t>check</t>
  </si>
  <si>
    <r>
      <t xml:space="preserve">  Overpotential, </t>
    </r>
    <r>
      <rPr>
        <sz val="11"/>
        <color indexed="8"/>
        <rFont val="Symbol"/>
        <family val="1"/>
        <charset val="2"/>
      </rPr>
      <t>h</t>
    </r>
  </si>
  <si>
    <t xml:space="preserve">    ASI</t>
  </si>
  <si>
    <r>
      <t>Ohm cm</t>
    </r>
    <r>
      <rPr>
        <vertAlign val="superscript"/>
        <sz val="11"/>
        <color theme="1"/>
        <rFont val="Calibri"/>
        <family val="2"/>
        <scheme val="minor"/>
      </rPr>
      <t>2</t>
    </r>
  </si>
  <si>
    <t>Lithium metal electrode</t>
  </si>
  <si>
    <t>Energy - provided</t>
  </si>
  <si>
    <t xml:space="preserve">  Thickness, L</t>
  </si>
  <si>
    <t>cm</t>
  </si>
  <si>
    <t xml:space="preserve">  Kinetic model</t>
  </si>
  <si>
    <t>Butler-Volmer</t>
  </si>
  <si>
    <r>
      <t xml:space="preserve">  Exchange current, i</t>
    </r>
    <r>
      <rPr>
        <vertAlign val="subscript"/>
        <sz val="11"/>
        <color theme="1"/>
        <rFont val="Calibri"/>
        <family val="2"/>
        <scheme val="minor"/>
      </rPr>
      <t>0</t>
    </r>
  </si>
  <si>
    <r>
      <t xml:space="preserve">  Transfer coefficent, </t>
    </r>
    <r>
      <rPr>
        <sz val="11"/>
        <color indexed="8"/>
        <rFont val="Symbol"/>
        <family val="1"/>
        <charset val="2"/>
      </rPr>
      <t>a</t>
    </r>
  </si>
  <si>
    <r>
      <t xml:space="preserve">  Surface overpotential, </t>
    </r>
    <r>
      <rPr>
        <sz val="11"/>
        <color indexed="8"/>
        <rFont val="Symbol"/>
        <family val="1"/>
        <charset val="2"/>
      </rPr>
      <t>h</t>
    </r>
  </si>
  <si>
    <t>Ceramic electrolyte</t>
  </si>
  <si>
    <r>
      <t>mAh/cm</t>
    </r>
    <r>
      <rPr>
        <vertAlign val="superscript"/>
        <sz val="11"/>
        <color theme="1"/>
        <rFont val="Calibri"/>
        <family val="2"/>
        <scheme val="minor"/>
      </rPr>
      <t>3</t>
    </r>
  </si>
  <si>
    <t xml:space="preserve">    Active material (product)</t>
  </si>
  <si>
    <r>
      <t>cm</t>
    </r>
    <r>
      <rPr>
        <vertAlign val="superscript"/>
        <sz val="11"/>
        <color theme="1"/>
        <rFont val="Calibri"/>
        <family val="2"/>
        <scheme val="minor"/>
      </rPr>
      <t>3</t>
    </r>
    <r>
      <rPr>
        <sz val="10"/>
        <rFont val="Arial"/>
        <family val="2"/>
      </rPr>
      <t>/cm</t>
    </r>
    <r>
      <rPr>
        <vertAlign val="superscript"/>
        <sz val="11"/>
        <color theme="1"/>
        <rFont val="Calibri"/>
        <family val="2"/>
        <scheme val="minor"/>
      </rPr>
      <t>3</t>
    </r>
  </si>
  <si>
    <t xml:space="preserve">    Electrolyte</t>
  </si>
  <si>
    <t xml:space="preserve">    Carbon felt/matrix</t>
  </si>
  <si>
    <t xml:space="preserve">  Specific interfacial area, a</t>
  </si>
  <si>
    <r>
      <t>cm</t>
    </r>
    <r>
      <rPr>
        <vertAlign val="superscript"/>
        <sz val="11"/>
        <color theme="1"/>
        <rFont val="Calibri"/>
        <family val="2"/>
        <scheme val="minor"/>
      </rPr>
      <t>2</t>
    </r>
    <r>
      <rPr>
        <sz val="10"/>
        <rFont val="Arial"/>
        <family val="2"/>
      </rPr>
      <t>/cm</t>
    </r>
    <r>
      <rPr>
        <vertAlign val="superscript"/>
        <sz val="11"/>
        <color theme="1"/>
        <rFont val="Calibri"/>
        <family val="2"/>
        <scheme val="minor"/>
      </rPr>
      <t>3</t>
    </r>
  </si>
  <si>
    <t xml:space="preserve">     Roughness factor</t>
  </si>
  <si>
    <r>
      <t>cm</t>
    </r>
    <r>
      <rPr>
        <vertAlign val="superscript"/>
        <sz val="11"/>
        <color theme="1"/>
        <rFont val="Calibri"/>
        <family val="2"/>
        <scheme val="minor"/>
      </rPr>
      <t>2</t>
    </r>
    <r>
      <rPr>
        <sz val="10"/>
        <rFont val="Arial"/>
        <family val="2"/>
      </rPr>
      <t>/cm</t>
    </r>
    <r>
      <rPr>
        <vertAlign val="superscript"/>
        <sz val="11"/>
        <color theme="1"/>
        <rFont val="Calibri"/>
        <family val="2"/>
        <scheme val="minor"/>
      </rPr>
      <t>2</t>
    </r>
  </si>
  <si>
    <r>
      <t xml:space="preserve">  Electrolyte conductivity, </t>
    </r>
    <r>
      <rPr>
        <sz val="11"/>
        <color indexed="8"/>
        <rFont val="Symbol"/>
        <family val="1"/>
        <charset val="2"/>
      </rPr>
      <t>k</t>
    </r>
    <r>
      <rPr>
        <vertAlign val="subscript"/>
        <sz val="11"/>
        <color theme="1"/>
        <rFont val="Calibri"/>
        <family val="2"/>
        <scheme val="minor"/>
      </rPr>
      <t>eff</t>
    </r>
  </si>
  <si>
    <r>
      <t xml:space="preserve">  Matrix conductivity, </t>
    </r>
    <r>
      <rPr>
        <sz val="11"/>
        <color indexed="8"/>
        <rFont val="Symbol"/>
        <family val="1"/>
        <charset val="2"/>
      </rPr>
      <t>s</t>
    </r>
    <r>
      <rPr>
        <vertAlign val="subscript"/>
        <sz val="11"/>
        <color theme="1"/>
        <rFont val="Calibri"/>
        <family val="2"/>
        <scheme val="minor"/>
      </rPr>
      <t>eff</t>
    </r>
  </si>
  <si>
    <r>
      <t xml:space="preserve">    theta iterate, </t>
    </r>
    <r>
      <rPr>
        <sz val="11"/>
        <color indexed="8"/>
        <rFont val="Symbol"/>
        <family val="1"/>
        <charset val="2"/>
      </rPr>
      <t>q</t>
    </r>
  </si>
  <si>
    <t>radians</t>
  </si>
  <si>
    <r>
      <t xml:space="preserve">    placeholder, tan( </t>
    </r>
    <r>
      <rPr>
        <sz val="11"/>
        <color indexed="8"/>
        <rFont val="Symbol"/>
        <family val="1"/>
        <charset val="2"/>
      </rPr>
      <t xml:space="preserve">q </t>
    </r>
    <r>
      <rPr>
        <sz val="10"/>
        <rFont val="Arial"/>
        <family val="2"/>
      </rPr>
      <t>)</t>
    </r>
  </si>
  <si>
    <r>
      <t xml:space="preserve">    tan( </t>
    </r>
    <r>
      <rPr>
        <sz val="11"/>
        <color indexed="8"/>
        <rFont val="Symbol"/>
        <family val="1"/>
        <charset val="2"/>
      </rPr>
      <t xml:space="preserve">q </t>
    </r>
    <r>
      <rPr>
        <sz val="10"/>
        <rFont val="Arial"/>
        <family val="2"/>
      </rPr>
      <t>)</t>
    </r>
  </si>
  <si>
    <r>
      <t xml:space="preserve">    Si, </t>
    </r>
    <r>
      <rPr>
        <sz val="11"/>
        <color indexed="8"/>
        <rFont val="Symbol"/>
        <family val="1"/>
        <charset val="2"/>
      </rPr>
      <t>y</t>
    </r>
  </si>
  <si>
    <t>O2 out</t>
  </si>
  <si>
    <t>N2</t>
  </si>
  <si>
    <t>mol flow average</t>
  </si>
  <si>
    <t>vol flow</t>
  </si>
  <si>
    <t>(m3/s)</t>
  </si>
  <si>
    <t>Dh</t>
  </si>
  <si>
    <t>(m)</t>
  </si>
  <si>
    <t>Linear kinetics</t>
  </si>
  <si>
    <r>
      <t xml:space="preserve">   Dimnsnlss. current density,</t>
    </r>
    <r>
      <rPr>
        <sz val="11"/>
        <color indexed="8"/>
        <rFont val="Symbol"/>
        <family val="1"/>
        <charset val="2"/>
      </rPr>
      <t>u</t>
    </r>
  </si>
  <si>
    <t xml:space="preserve">  ASI for porous electrode</t>
  </si>
  <si>
    <t>Rated Power, 2C pulse</t>
  </si>
  <si>
    <t>Rated Energy, C/3 discharge</t>
  </si>
  <si>
    <t>Total cell ASI</t>
  </si>
  <si>
    <t>Total overpotential</t>
  </si>
  <si>
    <t>Cell Capacity Parameters Inputs From Battery Design</t>
    <phoneticPr fontId="44" type="noConversion"/>
  </si>
  <si>
    <r>
      <t>Positive electrode capacity, Ah/cm</t>
    </r>
    <r>
      <rPr>
        <vertAlign val="superscript"/>
        <sz val="11"/>
        <rFont val="Arial"/>
        <family val="2"/>
      </rPr>
      <t>3</t>
    </r>
  </si>
  <si>
    <t>Volume %</t>
  </si>
  <si>
    <t>Electrode type</t>
  </si>
  <si>
    <t>Open</t>
  </si>
  <si>
    <t>Open porosity</t>
  </si>
  <si>
    <t>Electrolyte, Vol% %</t>
  </si>
  <si>
    <t>Pouch</t>
  </si>
  <si>
    <r>
      <t>moles of e- / mole of O</t>
    </r>
    <r>
      <rPr>
        <vertAlign val="subscript"/>
        <sz val="10"/>
        <rFont val="Arial"/>
        <family val="2"/>
      </rPr>
      <t>2</t>
    </r>
  </si>
  <si>
    <t>Electrolyte conductivity prefactor</t>
  </si>
  <si>
    <t>ORR kinetic prefactor</t>
  </si>
  <si>
    <t>Cell capacity, Q</t>
  </si>
  <si>
    <t>Ah</t>
  </si>
  <si>
    <t>Specific capacity, C</t>
  </si>
  <si>
    <t>Negative electrode thickness</t>
    <phoneticPr fontId="44" type="noConversion"/>
  </si>
  <si>
    <t>Positive electrode thickness at adjusted % OCV</t>
    <phoneticPr fontId="44" type="noConversion"/>
  </si>
  <si>
    <r>
      <t xml:space="preserve"> m</t>
    </r>
    <r>
      <rPr>
        <sz val="10"/>
        <rFont val="Arial"/>
        <family val="2"/>
      </rPr>
      <t>m</t>
    </r>
    <phoneticPr fontId="44" type="noConversion"/>
  </si>
  <si>
    <t>Negative electrode thickness at adjusted % OCV</t>
    <phoneticPr fontId="44" type="noConversion"/>
  </si>
  <si>
    <r>
      <t xml:space="preserve"> m</t>
    </r>
    <r>
      <rPr>
        <sz val="10"/>
        <rFont val="Arial"/>
        <family val="2"/>
      </rPr>
      <t>m</t>
    </r>
    <phoneticPr fontId="44" type="noConversion"/>
  </si>
  <si>
    <r>
      <t>Cell area, cm</t>
    </r>
    <r>
      <rPr>
        <b/>
        <vertAlign val="superscript"/>
        <sz val="11"/>
        <rFont val="Arial"/>
        <family val="2"/>
      </rPr>
      <t>2</t>
    </r>
    <phoneticPr fontId="44" type="noConversion"/>
  </si>
  <si>
    <t>cm2</t>
    <phoneticPr fontId="44" type="noConversion"/>
  </si>
  <si>
    <t>Layer area, Alayer</t>
    <phoneticPr fontId="44" type="noConversion"/>
  </si>
  <si>
    <t>cm2</t>
    <phoneticPr fontId="44" type="noConversion"/>
  </si>
  <si>
    <t>Cost of Gas Delivery (Compressor &amp; Ducting)</t>
  </si>
  <si>
    <t>Gas delivery, $</t>
  </si>
  <si>
    <t>Current at rated power</t>
  </si>
  <si>
    <t>Tabs</t>
  </si>
  <si>
    <t>Thickness of cell, mm</t>
  </si>
  <si>
    <t>Area, m2</t>
  </si>
  <si>
    <t>Gas cleanup, L</t>
  </si>
  <si>
    <t>Gas cleanup, kg</t>
  </si>
  <si>
    <t>Number of layers per cell, Nlayer</t>
    <phoneticPr fontId="44" type="noConversion"/>
  </si>
  <si>
    <t>Ip</t>
    <phoneticPr fontId="44" type="noConversion"/>
  </si>
  <si>
    <t>A/cm2</t>
    <phoneticPr fontId="44" type="noConversion"/>
  </si>
  <si>
    <t>V</t>
    <phoneticPr fontId="44" type="noConversion"/>
  </si>
  <si>
    <t>V</t>
    <phoneticPr fontId="44" type="noConversion"/>
  </si>
  <si>
    <t>ASIp</t>
    <phoneticPr fontId="44" type="noConversion"/>
  </si>
  <si>
    <t>Ohm cm2</t>
    <phoneticPr fontId="44" type="noConversion"/>
  </si>
  <si>
    <t>ASIe</t>
    <phoneticPr fontId="44" type="noConversion"/>
  </si>
  <si>
    <t>Vp/U</t>
    <phoneticPr fontId="44" type="noConversion"/>
  </si>
  <si>
    <t>Pack integration</t>
  </si>
  <si>
    <t>Gas delivery</t>
  </si>
  <si>
    <t>Non-materials</t>
  </si>
  <si>
    <t>ceramic</t>
  </si>
  <si>
    <t>carbon felt</t>
  </si>
  <si>
    <t>volume fraction</t>
  </si>
  <si>
    <t>Number of layers per cell</t>
  </si>
  <si>
    <t>Layer area</t>
  </si>
  <si>
    <t>Cell voltage at rated power</t>
  </si>
  <si>
    <t xml:space="preserve">  Calc cell voltage at rated power</t>
  </si>
  <si>
    <t>fan for O2 dilution</t>
  </si>
  <si>
    <t>Sum (optimistic)</t>
  </si>
  <si>
    <t>Current for energy, C/5</t>
  </si>
  <si>
    <t xml:space="preserve">  Fraction of OCV at C/5</t>
  </si>
  <si>
    <t>Compressor ave energy 5 hours</t>
  </si>
  <si>
    <t>(kWh)</t>
  </si>
  <si>
    <t>Energy Total</t>
  </si>
  <si>
    <t>Energy Useable</t>
  </si>
  <si>
    <t>Electrodissolution/deposition between ceramic-buffer-layer and metal interface</t>
  </si>
  <si>
    <t xml:space="preserve">  N:P ratio</t>
  </si>
  <si>
    <t>mAh/mAh</t>
  </si>
  <si>
    <t>Thickness of cooling fin, mm</t>
  </si>
  <si>
    <t>Total mass of cooling fin, g</t>
  </si>
  <si>
    <t>Length of cooling fin mm</t>
  </si>
  <si>
    <t>with catalyst</t>
  </si>
  <si>
    <t>A/mg cat</t>
  </si>
  <si>
    <t>g_cat total</t>
  </si>
  <si>
    <t>Cathode</t>
  </si>
  <si>
    <t>Anode</t>
  </si>
  <si>
    <t>Inactive materials</t>
  </si>
  <si>
    <t>Gas utilization</t>
  </si>
  <si>
    <r>
      <t xml:space="preserve"> m</t>
    </r>
    <r>
      <rPr>
        <sz val="10"/>
        <rFont val="Arial"/>
        <family val="2"/>
      </rPr>
      <t>m</t>
    </r>
  </si>
  <si>
    <t>Pack area, m2</t>
    <phoneticPr fontId="44" type="noConversion"/>
  </si>
  <si>
    <t>m2</t>
    <phoneticPr fontId="44" type="noConversion"/>
  </si>
  <si>
    <t>Vp</t>
    <phoneticPr fontId="44" type="noConversion"/>
  </si>
  <si>
    <t>Ve</t>
    <phoneticPr fontId="44" type="noConversion"/>
  </si>
  <si>
    <t>Depth per layer (iterated)</t>
  </si>
  <si>
    <t xml:space="preserve">   Depth per layer hold</t>
  </si>
  <si>
    <t>Cell voltage fo energy</t>
    <phoneticPr fontId="44" type="noConversion"/>
  </si>
  <si>
    <t>Total minus lithium from active material</t>
  </si>
  <si>
    <t>Total energy, kWh</t>
  </si>
  <si>
    <t>Useable energy, kWh</t>
  </si>
  <si>
    <t>Wh/kg_charge</t>
  </si>
  <si>
    <t>kg_charge</t>
  </si>
  <si>
    <t>kg</t>
  </si>
  <si>
    <t>$</t>
  </si>
  <si>
    <t>Filter</t>
  </si>
  <si>
    <r>
      <t xml:space="preserve">  Overpotential, </t>
    </r>
    <r>
      <rPr>
        <sz val="11"/>
        <color indexed="8"/>
        <rFont val="Symbol"/>
        <family val="1"/>
        <charset val="2"/>
      </rPr>
      <t>h=</t>
    </r>
    <r>
      <rPr>
        <sz val="10"/>
        <rFont val="Arial"/>
        <family val="2"/>
      </rPr>
      <t xml:space="preserve"> </t>
    </r>
    <r>
      <rPr>
        <sz val="11"/>
        <color indexed="8"/>
        <rFont val="Symbol"/>
        <family val="1"/>
        <charset val="2"/>
      </rPr>
      <t>f</t>
    </r>
    <r>
      <rPr>
        <vertAlign val="subscript"/>
        <sz val="11"/>
        <color indexed="8"/>
        <rFont val="Symbol"/>
        <family val="1"/>
        <charset val="2"/>
      </rPr>
      <t>1</t>
    </r>
    <r>
      <rPr>
        <sz val="10"/>
        <rFont val="Arial"/>
        <family val="2"/>
      </rPr>
      <t>(L)-</t>
    </r>
    <r>
      <rPr>
        <sz val="11"/>
        <color indexed="8"/>
        <rFont val="Symbol"/>
        <family val="1"/>
        <charset val="2"/>
      </rPr>
      <t>f</t>
    </r>
    <r>
      <rPr>
        <vertAlign val="subscript"/>
        <sz val="11"/>
        <color theme="1"/>
        <rFont val="Calibri"/>
        <family val="2"/>
        <scheme val="minor"/>
      </rPr>
      <t>2</t>
    </r>
    <r>
      <rPr>
        <sz val="10"/>
        <rFont val="Arial"/>
        <family val="2"/>
      </rPr>
      <t>(0)</t>
    </r>
  </si>
  <si>
    <t xml:space="preserve"> Euler and Nonnenmacher expression</t>
  </si>
  <si>
    <r>
      <t>Negative electrode capacity, Ah/cm</t>
    </r>
    <r>
      <rPr>
        <vertAlign val="superscript"/>
        <sz val="11"/>
        <rFont val="Arial"/>
        <family val="2"/>
      </rPr>
      <t>3</t>
    </r>
  </si>
  <si>
    <t>Maximum allowable positive electrode coating thickness</t>
    <phoneticPr fontId="44" type="noConversion"/>
  </si>
  <si>
    <t>Electrode Thickness and Area Results</t>
    <phoneticPr fontId="44" type="noConversion"/>
  </si>
  <si>
    <t>Positive electrode thickness</t>
    <phoneticPr fontId="44" type="noConversion"/>
  </si>
  <si>
    <t>Total minus product (active material)</t>
  </si>
  <si>
    <t>max tpe</t>
  </si>
  <si>
    <t xml:space="preserve">  Fraction of OCV at C/5 (Ve/U)</t>
  </si>
  <si>
    <t>Check</t>
  </si>
  <si>
    <t>Calculate efficiency of C/5 discharge from cell design on left</t>
  </si>
  <si>
    <t>Design cell to meet rated gross power at defined cell area</t>
  </si>
  <si>
    <r>
      <t>Total cell ASI for energy (C/5 rate), ohm-cm</t>
    </r>
    <r>
      <rPr>
        <vertAlign val="superscript"/>
        <sz val="10"/>
        <rFont val="Arial"/>
        <family val="2"/>
      </rPr>
      <t>2</t>
    </r>
  </si>
  <si>
    <t>Assume 10 kg solvent per "annual service" added to battery, system is 4L + 2kg, solvent is 10L + 10kg, $4/kg solvent</t>
  </si>
  <si>
    <t>solvent addition</t>
  </si>
  <si>
    <t xml:space="preserve">3 bar </t>
  </si>
  <si>
    <t>Compressor, motor, heat tx</t>
  </si>
  <si>
    <t>Gas utilization componentry</t>
  </si>
  <si>
    <t>7 bar</t>
  </si>
  <si>
    <t>P battery</t>
  </si>
  <si>
    <t>P compressor/PSA</t>
  </si>
  <si>
    <t>Gas utilization componentry for open architecture Li/O2</t>
  </si>
  <si>
    <t>Li/O2 open architecture system</t>
  </si>
  <si>
    <t>solvent capture</t>
  </si>
  <si>
    <t>PSA, valves, piping, plc</t>
  </si>
  <si>
    <t>10 L beds, 15 L system; monolith adsorbent ~$60, balance is tanks, valves, system, and controls</t>
  </si>
  <si>
    <t>23 L beds, 15 L system; monolith adsorbent ~$60, balance is tanks, valves, system, and controls</t>
  </si>
  <si>
    <t>Carbon felt-like composite electrode material</t>
  </si>
  <si>
    <t>w/o catalyst</t>
  </si>
  <si>
    <t>3 bar</t>
  </si>
  <si>
    <t>must capture 10 kg per year (15,000 miles), for 0.2 kPa vapor pressure (DMSO)</t>
  </si>
  <si>
    <t>This model is a modified version of BatPaC v2.2. The major modifications to BatPaC is the impedance calculation and sizing of components for oxygen or air utilization.                                                                                                                    This is an iterative model and thus requires the user to enable the iteration function within Excel. If one wishes to run the model for different cases (e.g. pack energy), we suggest changing the input in small increments until the desired final value is reached. If the model crashes, the safe guesses may be used to reinitialize the model by changing the "1" to "0" to "1". However there are multiple places where this is required on the Iterative I-V, IV-thickness, Flow and System sheets. To the uninitiated this will be cumbersome. This model has not been developed with much effort placed on "ease of use." However, the equations and parameter values used are documented in this format and allow for a complete understanding of how the results were obtained.</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</si>
</sst>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_);_(* \(#,##0.00\);_(* &quot;-&quot;??_);_(@_)"/>
    <numFmt numFmtId="164" formatCode="#,##0.0"/>
    <numFmt numFmtId="165" formatCode="0.0"/>
    <numFmt numFmtId="166" formatCode="0.000"/>
    <numFmt numFmtId="167" formatCode="0.0000"/>
    <numFmt numFmtId="168" formatCode="0.00000"/>
    <numFmt numFmtId="169" formatCode="_(* #,##0.0_);_(* \(#,##0.0\);_(* &quot;-&quot;??_);_(@_)"/>
    <numFmt numFmtId="170" formatCode="_(* #,##0_);_(* \(#,##0\);_(* &quot;-&quot;??_);_(@_)"/>
    <numFmt numFmtId="171" formatCode="#,##0.000_);[Red]\(#,##0.000\)"/>
    <numFmt numFmtId="172" formatCode="_(* #,##0.000_);_(* \(#,##0.000\);_(* &quot;-&quot;??_);_(@_)"/>
    <numFmt numFmtId="173" formatCode="_(* #,##0.0000_);_(* \(#,##0.0000\);_(* &quot;-&quot;??_);_(@_)"/>
    <numFmt numFmtId="174" formatCode="#,##0.0_);[Red]\(#,##0.0\)"/>
    <numFmt numFmtId="175" formatCode="0.0000000"/>
    <numFmt numFmtId="176" formatCode="0.000000"/>
    <numFmt numFmtId="177" formatCode="0.0E+00"/>
    <numFmt numFmtId="178" formatCode="#,##0.000"/>
    <numFmt numFmtId="179" formatCode="#,##0.0000000"/>
    <numFmt numFmtId="180" formatCode="#,##0.000000_);[Red]\(#,##0.000000\)"/>
    <numFmt numFmtId="181" formatCode="#,##0.0000_);[Red]\(#,##0.0000\)"/>
    <numFmt numFmtId="182" formatCode="#,##0.000_);\(#,##0.000\)"/>
    <numFmt numFmtId="183" formatCode="0E+00"/>
    <numFmt numFmtId="184" formatCode="_(* #,##0.0000000_);_(* \(#,##0.0000000\);_(* &quot;-&quot;??_);_(@_)"/>
  </numFmts>
  <fonts count="53" x14ac:knownFonts="1">
    <font>
      <sz val="10"/>
      <name val="Arial"/>
    </font>
    <font>
      <b/>
      <sz val="10"/>
      <name val="Verdana"/>
      <family val="2"/>
    </font>
    <font>
      <sz val="10"/>
      <name val="Arial"/>
      <family val="2"/>
    </font>
    <font>
      <b/>
      <sz val="12"/>
      <name val="Arial"/>
      <family val="2"/>
    </font>
    <font>
      <vertAlign val="superscript"/>
      <sz val="10"/>
      <name val="Arial"/>
      <family val="2"/>
    </font>
    <font>
      <sz val="10"/>
      <name val="Arial"/>
      <family val="2"/>
    </font>
    <font>
      <sz val="8"/>
      <name val="Arial"/>
      <family val="2"/>
    </font>
    <font>
      <b/>
      <sz val="10"/>
      <name val="Arial"/>
      <family val="2"/>
    </font>
    <font>
      <sz val="10"/>
      <name val="Symbol"/>
      <family val="1"/>
      <charset val="2"/>
    </font>
    <font>
      <sz val="9"/>
      <name val="Arial"/>
      <family val="2"/>
    </font>
    <font>
      <sz val="12"/>
      <name val="Arial"/>
      <family val="2"/>
    </font>
    <font>
      <u/>
      <sz val="10"/>
      <name val="Arial"/>
      <family val="2"/>
    </font>
    <font>
      <u/>
      <vertAlign val="superscript"/>
      <sz val="10"/>
      <name val="Arial"/>
      <family val="2"/>
    </font>
    <font>
      <b/>
      <sz val="14"/>
      <name val="Arial"/>
      <family val="2"/>
    </font>
    <font>
      <u/>
      <sz val="10"/>
      <name val="Arial"/>
      <family val="2"/>
    </font>
    <font>
      <b/>
      <sz val="10"/>
      <color indexed="10"/>
      <name val="Arial"/>
      <family val="2"/>
    </font>
    <font>
      <b/>
      <sz val="10"/>
      <color indexed="12"/>
      <name val="Arial"/>
      <family val="2"/>
    </font>
    <font>
      <b/>
      <sz val="10"/>
      <color indexed="21"/>
      <name val="Arial"/>
      <family val="2"/>
    </font>
    <font>
      <vertAlign val="subscript"/>
      <sz val="10"/>
      <name val="Arial"/>
      <family val="2"/>
    </font>
    <font>
      <b/>
      <sz val="10"/>
      <color indexed="17"/>
      <name val="Arial"/>
      <family val="2"/>
    </font>
    <font>
      <b/>
      <sz val="10"/>
      <color indexed="48"/>
      <name val="Arial"/>
      <family val="2"/>
    </font>
    <font>
      <b/>
      <sz val="10"/>
      <name val="Arial"/>
      <family val="2"/>
    </font>
    <font>
      <sz val="10"/>
      <name val="Arial"/>
      <family val="2"/>
    </font>
    <font>
      <b/>
      <sz val="10"/>
      <color indexed="10"/>
      <name val="Arial"/>
      <family val="2"/>
    </font>
    <font>
      <b/>
      <sz val="11"/>
      <name val="Arial"/>
      <family val="2"/>
    </font>
    <font>
      <b/>
      <sz val="10"/>
      <color indexed="10"/>
      <name val="Arial"/>
      <family val="2"/>
    </font>
    <font>
      <sz val="11"/>
      <name val="Arial"/>
      <family val="2"/>
    </font>
    <font>
      <sz val="10"/>
      <color indexed="8"/>
      <name val="Arial"/>
      <family val="2"/>
    </font>
    <font>
      <sz val="10"/>
      <color indexed="10"/>
      <name val="Arial"/>
      <family val="2"/>
    </font>
    <font>
      <b/>
      <vertAlign val="superscript"/>
      <sz val="11"/>
      <name val="Arial"/>
      <family val="2"/>
    </font>
    <font>
      <b/>
      <sz val="16"/>
      <name val="Arial"/>
      <family val="2"/>
    </font>
    <font>
      <b/>
      <sz val="11"/>
      <color theme="1"/>
      <name val="Calibri"/>
      <family val="2"/>
      <scheme val="minor"/>
    </font>
    <font>
      <b/>
      <sz val="14"/>
      <color theme="1"/>
      <name val="Calibri"/>
      <family val="2"/>
      <scheme val="minor"/>
    </font>
    <font>
      <b/>
      <u/>
      <sz val="11"/>
      <color theme="1"/>
      <name val="Calibri"/>
      <family val="2"/>
      <scheme val="minor"/>
    </font>
    <font>
      <i/>
      <u/>
      <sz val="11"/>
      <color theme="1"/>
      <name val="Calibri"/>
      <family val="2"/>
      <scheme val="minor"/>
    </font>
    <font>
      <i/>
      <sz val="11"/>
      <color theme="1"/>
      <name val="Calibri"/>
      <family val="2"/>
      <scheme val="minor"/>
    </font>
    <font>
      <vertAlign val="superscript"/>
      <sz val="11"/>
      <color theme="1"/>
      <name val="Calibri"/>
      <family val="2"/>
      <scheme val="minor"/>
    </font>
    <font>
      <b/>
      <sz val="11"/>
      <color rgb="FFFF0000"/>
      <name val="Calibri"/>
      <family val="2"/>
      <scheme val="minor"/>
    </font>
    <font>
      <sz val="11"/>
      <color indexed="8"/>
      <name val="Symbol"/>
      <family val="1"/>
      <charset val="2"/>
    </font>
    <font>
      <vertAlign val="subscript"/>
      <sz val="11"/>
      <color theme="1"/>
      <name val="Calibri"/>
      <family val="2"/>
      <scheme val="minor"/>
    </font>
    <font>
      <vertAlign val="subscript"/>
      <sz val="11"/>
      <color indexed="8"/>
      <name val="Symbol"/>
      <family val="1"/>
      <charset val="2"/>
    </font>
    <font>
      <b/>
      <sz val="9"/>
      <color indexed="81"/>
      <name val="Tahoma"/>
      <family val="2"/>
    </font>
    <font>
      <sz val="9"/>
      <color indexed="81"/>
      <name val="Tahoma"/>
      <family val="2"/>
    </font>
    <font>
      <b/>
      <vertAlign val="subscript"/>
      <sz val="12"/>
      <name val="Arial"/>
      <family val="2"/>
    </font>
    <font>
      <sz val="8"/>
      <name val="Verdana"/>
      <family val="2"/>
    </font>
    <font>
      <b/>
      <sz val="11"/>
      <name val="Verdana"/>
      <family val="2"/>
    </font>
    <font>
      <vertAlign val="superscript"/>
      <sz val="11"/>
      <name val="Arial"/>
      <family val="2"/>
    </font>
    <font>
      <sz val="11"/>
      <color indexed="10"/>
      <name val="Arial"/>
      <family val="2"/>
    </font>
    <font>
      <sz val="10"/>
      <color indexed="10"/>
      <name val="Verdana"/>
      <family val="2"/>
    </font>
    <font>
      <b/>
      <sz val="10"/>
      <color rgb="FFFF0000"/>
      <name val="Arial"/>
      <family val="2"/>
    </font>
    <font>
      <b/>
      <i/>
      <sz val="11"/>
      <color theme="1"/>
      <name val="Calibri"/>
      <family val="2"/>
      <scheme val="minor"/>
    </font>
    <font>
      <b/>
      <sz val="11"/>
      <name val="Verdana"/>
      <family val="2"/>
    </font>
    <font>
      <sz val="10"/>
      <name val="Arial"/>
      <family val="2"/>
    </font>
  </fonts>
  <fills count="16">
    <fill>
      <patternFill patternType="none"/>
    </fill>
    <fill>
      <patternFill patternType="gray125"/>
    </fill>
    <fill>
      <patternFill patternType="solid">
        <fgColor indexed="43"/>
        <bgColor indexed="64"/>
      </patternFill>
    </fill>
    <fill>
      <patternFill patternType="solid">
        <fgColor indexed="45"/>
        <bgColor indexed="64"/>
      </patternFill>
    </fill>
    <fill>
      <patternFill patternType="gray0625">
        <bgColor indexed="42"/>
      </patternFill>
    </fill>
    <fill>
      <patternFill patternType="solid">
        <fgColor indexed="41"/>
        <bgColor indexed="64"/>
      </patternFill>
    </fill>
    <fill>
      <patternFill patternType="solid">
        <fgColor indexed="40"/>
        <bgColor indexed="64"/>
      </patternFill>
    </fill>
    <fill>
      <patternFill patternType="solid">
        <fgColor indexed="46"/>
        <bgColor indexed="64"/>
      </patternFill>
    </fill>
    <fill>
      <patternFill patternType="solid">
        <fgColor rgb="FF66FFFF"/>
        <bgColor indexed="64"/>
      </patternFill>
    </fill>
    <fill>
      <patternFill patternType="solid">
        <fgColor rgb="FFFFFF00"/>
        <bgColor indexed="64"/>
      </patternFill>
    </fill>
    <fill>
      <patternFill patternType="solid">
        <fgColor rgb="FFFFFF99"/>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13">
    <border>
      <left/>
      <right/>
      <top/>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516">
    <xf numFmtId="0" fontId="0" fillId="0" borderId="0" xfId="0"/>
    <xf numFmtId="0" fontId="3" fillId="0" borderId="0" xfId="0" applyFont="1" applyAlignment="1">
      <alignment horizontal="center"/>
    </xf>
    <xf numFmtId="0" fontId="0" fillId="0" borderId="0" xfId="0" applyAlignment="1">
      <alignment horizontal="left"/>
    </xf>
    <xf numFmtId="0" fontId="0" fillId="0" borderId="0" xfId="0" applyAlignment="1">
      <alignment horizontal="center"/>
    </xf>
    <xf numFmtId="1" fontId="0" fillId="0" borderId="0" xfId="0" applyNumberFormat="1" applyAlignment="1">
      <alignment horizontal="center"/>
    </xf>
    <xf numFmtId="0" fontId="7" fillId="0" borderId="0" xfId="0" applyFont="1"/>
    <xf numFmtId="165" fontId="0" fillId="0" borderId="0" xfId="0" applyNumberFormat="1" applyAlignment="1">
      <alignment horizontal="center"/>
    </xf>
    <xf numFmtId="0" fontId="5" fillId="0" borderId="0" xfId="0" applyFont="1"/>
    <xf numFmtId="0" fontId="7"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xf>
    <xf numFmtId="2" fontId="9" fillId="0" borderId="0" xfId="0" applyNumberFormat="1" applyFont="1" applyBorder="1" applyAlignment="1">
      <alignment horizontal="center"/>
    </xf>
    <xf numFmtId="2" fontId="5" fillId="0" borderId="0" xfId="0" applyNumberFormat="1" applyFont="1" applyBorder="1" applyAlignment="1">
      <alignment horizontal="left"/>
    </xf>
    <xf numFmtId="0" fontId="5" fillId="0" borderId="1" xfId="0" applyFont="1" applyBorder="1" applyAlignment="1">
      <alignment horizontal="center"/>
    </xf>
    <xf numFmtId="166" fontId="5" fillId="0" borderId="0" xfId="0" applyNumberFormat="1" applyFont="1" applyAlignment="1">
      <alignment horizontal="center"/>
    </xf>
    <xf numFmtId="1" fontId="5" fillId="0" borderId="0" xfId="2" applyNumberFormat="1" applyFont="1" applyAlignment="1">
      <alignment horizontal="right"/>
    </xf>
    <xf numFmtId="0" fontId="3" fillId="0" borderId="0" xfId="0" applyFont="1" applyAlignment="1">
      <alignment horizontal="left"/>
    </xf>
    <xf numFmtId="0" fontId="0" fillId="0" borderId="0" xfId="0" applyBorder="1"/>
    <xf numFmtId="0" fontId="3" fillId="0" borderId="0" xfId="0" applyFont="1"/>
    <xf numFmtId="0" fontId="10" fillId="0" borderId="0" xfId="0" applyFont="1"/>
    <xf numFmtId="2" fontId="0" fillId="0" borderId="0" xfId="0" applyNumberFormat="1" applyAlignment="1">
      <alignment horizontal="center"/>
    </xf>
    <xf numFmtId="166" fontId="0" fillId="0" borderId="0" xfId="0" applyNumberFormat="1" applyBorder="1" applyAlignment="1">
      <alignment horizontal="center"/>
    </xf>
    <xf numFmtId="0" fontId="5" fillId="0" borderId="0" xfId="0" applyFont="1" applyBorder="1" applyAlignment="1">
      <alignment horizontal="left"/>
    </xf>
    <xf numFmtId="0" fontId="5" fillId="0" borderId="0" xfId="0" applyFont="1" applyFill="1" applyBorder="1" applyAlignment="1">
      <alignment horizontal="left"/>
    </xf>
    <xf numFmtId="0" fontId="5" fillId="0" borderId="0" xfId="0" applyFont="1" applyAlignment="1">
      <alignment horizontal="right"/>
    </xf>
    <xf numFmtId="3" fontId="0" fillId="0" borderId="0" xfId="0" applyNumberFormat="1" applyAlignment="1">
      <alignment horizontal="center"/>
    </xf>
    <xf numFmtId="0" fontId="2" fillId="0" borderId="0" xfId="0" applyFont="1" applyBorder="1"/>
    <xf numFmtId="0" fontId="2" fillId="0" borderId="0" xfId="0" applyFont="1" applyBorder="1" applyAlignment="1">
      <alignment horizontal="center"/>
    </xf>
    <xf numFmtId="0" fontId="2" fillId="0" borderId="0" xfId="0" applyFont="1" applyBorder="1" applyAlignment="1">
      <alignment horizontal="left"/>
    </xf>
    <xf numFmtId="166" fontId="2" fillId="0" borderId="0" xfId="0" applyNumberFormat="1" applyFont="1" applyBorder="1" applyAlignment="1">
      <alignment horizontal="center"/>
    </xf>
    <xf numFmtId="1" fontId="2" fillId="0" borderId="0" xfId="0" applyNumberFormat="1" applyFont="1" applyBorder="1" applyAlignment="1">
      <alignment horizontal="center"/>
    </xf>
    <xf numFmtId="1" fontId="2" fillId="0" borderId="0" xfId="2" applyNumberFormat="1" applyFont="1" applyBorder="1" applyAlignment="1">
      <alignment horizontal="right"/>
    </xf>
    <xf numFmtId="1" fontId="2" fillId="0" borderId="1" xfId="0" applyNumberFormat="1" applyFont="1" applyBorder="1" applyAlignment="1">
      <alignment horizontal="center"/>
    </xf>
    <xf numFmtId="0" fontId="2" fillId="0" borderId="1" xfId="0" applyFont="1" applyBorder="1" applyAlignment="1">
      <alignment horizontal="center"/>
    </xf>
    <xf numFmtId="2" fontId="2" fillId="0" borderId="0" xfId="0" applyNumberFormat="1" applyFont="1" applyBorder="1" applyAlignment="1">
      <alignment horizontal="center"/>
    </xf>
    <xf numFmtId="0" fontId="7" fillId="0" borderId="0" xfId="0" applyFont="1" applyAlignment="1">
      <alignment horizontal="left"/>
    </xf>
    <xf numFmtId="2" fontId="9" fillId="0" borderId="0" xfId="0" applyNumberFormat="1" applyFont="1" applyBorder="1" applyAlignment="1">
      <alignment horizontal="left"/>
    </xf>
    <xf numFmtId="43" fontId="0" fillId="0" borderId="0" xfId="1" applyFont="1"/>
    <xf numFmtId="43" fontId="0" fillId="0" borderId="0" xfId="1" applyFont="1" applyAlignment="1">
      <alignment horizontal="center"/>
    </xf>
    <xf numFmtId="43" fontId="0" fillId="0" borderId="0" xfId="0" applyNumberFormat="1"/>
    <xf numFmtId="43" fontId="0" fillId="0" borderId="1" xfId="0" applyNumberFormat="1" applyBorder="1"/>
    <xf numFmtId="43" fontId="2" fillId="0" borderId="0" xfId="1" applyFont="1" applyBorder="1" applyAlignment="1">
      <alignment horizontal="left"/>
    </xf>
    <xf numFmtId="43" fontId="2" fillId="0" borderId="0" xfId="0" applyNumberFormat="1" applyFont="1" applyBorder="1" applyAlignment="1">
      <alignment horizontal="left"/>
    </xf>
    <xf numFmtId="43" fontId="2" fillId="0" borderId="1" xfId="0" applyNumberFormat="1" applyFont="1" applyBorder="1" applyAlignment="1">
      <alignment horizontal="left"/>
    </xf>
    <xf numFmtId="0" fontId="2" fillId="0" borderId="1" xfId="0" applyFont="1" applyBorder="1"/>
    <xf numFmtId="0" fontId="5" fillId="0" borderId="0" xfId="0" applyFont="1" applyBorder="1"/>
    <xf numFmtId="172" fontId="2" fillId="0" borderId="0" xfId="0" applyNumberFormat="1" applyFont="1" applyBorder="1" applyAlignment="1">
      <alignment horizontal="left"/>
    </xf>
    <xf numFmtId="173" fontId="2" fillId="0" borderId="0" xfId="0" applyNumberFormat="1" applyFont="1" applyBorder="1" applyAlignment="1">
      <alignment horizontal="left"/>
    </xf>
    <xf numFmtId="0" fontId="5" fillId="0" borderId="0" xfId="0" applyFont="1" applyFill="1" applyBorder="1"/>
    <xf numFmtId="169" fontId="2" fillId="0" borderId="0" xfId="0" applyNumberFormat="1" applyFont="1" applyBorder="1" applyAlignment="1">
      <alignment horizontal="left"/>
    </xf>
    <xf numFmtId="170" fontId="2" fillId="0" borderId="0" xfId="0" applyNumberFormat="1" applyFont="1" applyBorder="1" applyAlignment="1">
      <alignment horizontal="left"/>
    </xf>
    <xf numFmtId="2" fontId="2" fillId="0" borderId="0" xfId="0" applyNumberFormat="1" applyFont="1" applyBorder="1" applyAlignment="1">
      <alignment horizontal="left"/>
    </xf>
    <xf numFmtId="0" fontId="0" fillId="0" borderId="0" xfId="0" applyBorder="1" applyAlignment="1">
      <alignment horizontal="center"/>
    </xf>
    <xf numFmtId="2" fontId="0" fillId="0" borderId="0" xfId="0" applyNumberFormat="1" applyBorder="1" applyAlignment="1">
      <alignment horizontal="center"/>
    </xf>
    <xf numFmtId="171" fontId="0" fillId="0" borderId="0" xfId="1" applyNumberFormat="1" applyFont="1"/>
    <xf numFmtId="0" fontId="7" fillId="0" borderId="1" xfId="0" applyFont="1" applyBorder="1"/>
    <xf numFmtId="0" fontId="7" fillId="0" borderId="1" xfId="0" applyFont="1" applyBorder="1" applyAlignment="1">
      <alignment horizontal="center"/>
    </xf>
    <xf numFmtId="0" fontId="3" fillId="0" borderId="0" xfId="0" applyFont="1" applyBorder="1"/>
    <xf numFmtId="0" fontId="7" fillId="0" borderId="0" xfId="0" applyFont="1" applyBorder="1"/>
    <xf numFmtId="0" fontId="7" fillId="0" borderId="0" xfId="0" applyFont="1" applyBorder="1" applyAlignment="1">
      <alignment horizontal="center"/>
    </xf>
    <xf numFmtId="0" fontId="5" fillId="0" borderId="0" xfId="0" applyFont="1" applyBorder="1" applyAlignment="1">
      <alignment horizontal="center"/>
    </xf>
    <xf numFmtId="38" fontId="5" fillId="0" borderId="0" xfId="1" applyNumberFormat="1" applyFont="1" applyBorder="1" applyAlignment="1">
      <alignment horizontal="center"/>
    </xf>
    <xf numFmtId="38" fontId="5" fillId="0" borderId="0" xfId="1" applyNumberFormat="1" applyFont="1" applyBorder="1" applyAlignment="1">
      <alignment horizontal="right"/>
    </xf>
    <xf numFmtId="0" fontId="7" fillId="0" borderId="0" xfId="0" applyFont="1" applyFill="1" applyBorder="1" applyAlignment="1">
      <alignment horizontal="center"/>
    </xf>
    <xf numFmtId="2" fontId="0" fillId="0" borderId="0" xfId="0" applyNumberFormat="1" applyAlignment="1"/>
    <xf numFmtId="0" fontId="10" fillId="0" borderId="0" xfId="0" applyFont="1" applyAlignment="1">
      <alignment horizontal="center"/>
    </xf>
    <xf numFmtId="166" fontId="0" fillId="0" borderId="0" xfId="0" applyNumberFormat="1" applyAlignment="1">
      <alignment horizontal="center"/>
    </xf>
    <xf numFmtId="170" fontId="7" fillId="0" borderId="0" xfId="1" applyNumberFormat="1" applyFont="1" applyAlignment="1">
      <alignment horizontal="center"/>
    </xf>
    <xf numFmtId="0" fontId="7" fillId="0" borderId="0" xfId="0" applyFont="1" applyBorder="1" applyAlignment="1"/>
    <xf numFmtId="0" fontId="7" fillId="0" borderId="1" xfId="0" applyFont="1" applyBorder="1" applyAlignment="1">
      <alignment horizontal="left"/>
    </xf>
    <xf numFmtId="170" fontId="7" fillId="0" borderId="1" xfId="1" applyNumberFormat="1" applyFont="1" applyBorder="1" applyAlignment="1">
      <alignment horizontal="center"/>
    </xf>
    <xf numFmtId="170" fontId="5" fillId="0" borderId="0" xfId="1" applyNumberFormat="1" applyFont="1" applyBorder="1" applyAlignment="1">
      <alignment horizontal="center"/>
    </xf>
    <xf numFmtId="170" fontId="5" fillId="0" borderId="0" xfId="1" applyNumberFormat="1" applyFont="1" applyAlignment="1">
      <alignment horizontal="center"/>
    </xf>
    <xf numFmtId="38" fontId="5" fillId="0" borderId="0" xfId="1" applyNumberFormat="1" applyFont="1" applyAlignment="1">
      <alignment horizontal="right"/>
    </xf>
    <xf numFmtId="174" fontId="5" fillId="0" borderId="0" xfId="1" applyNumberFormat="1" applyFont="1" applyAlignment="1">
      <alignment horizontal="right"/>
    </xf>
    <xf numFmtId="0" fontId="11" fillId="0" borderId="0" xfId="0" applyFont="1"/>
    <xf numFmtId="0" fontId="7" fillId="0" borderId="0" xfId="0" applyFont="1" applyFill="1" applyBorder="1"/>
    <xf numFmtId="174" fontId="0" fillId="0" borderId="0" xfId="1" applyNumberFormat="1" applyFont="1"/>
    <xf numFmtId="166" fontId="0" fillId="0" borderId="0" xfId="0" applyNumberFormat="1"/>
    <xf numFmtId="38" fontId="0" fillId="0" borderId="0" xfId="1" applyNumberFormat="1" applyFont="1" applyAlignment="1">
      <alignment horizontal="right"/>
    </xf>
    <xf numFmtId="38" fontId="0" fillId="0" borderId="0" xfId="1" applyNumberFormat="1" applyFont="1" applyAlignment="1">
      <alignment horizontal="center"/>
    </xf>
    <xf numFmtId="40" fontId="0" fillId="0" borderId="0" xfId="1" applyNumberFormat="1" applyFont="1" applyAlignment="1">
      <alignment horizontal="right"/>
    </xf>
    <xf numFmtId="40" fontId="0" fillId="0" borderId="0" xfId="1" applyNumberFormat="1" applyFont="1" applyAlignment="1">
      <alignment horizontal="center"/>
    </xf>
    <xf numFmtId="2" fontId="7" fillId="0" borderId="0" xfId="0" applyNumberFormat="1" applyFont="1" applyBorder="1" applyAlignment="1">
      <alignment horizontal="center"/>
    </xf>
    <xf numFmtId="174" fontId="5" fillId="2" borderId="0" xfId="1" applyNumberFormat="1" applyFont="1" applyFill="1" applyAlignment="1">
      <alignment horizontal="right"/>
    </xf>
    <xf numFmtId="169" fontId="5" fillId="0" borderId="0" xfId="1" applyNumberFormat="1" applyFont="1" applyBorder="1" applyAlignment="1">
      <alignment horizontal="center"/>
    </xf>
    <xf numFmtId="172" fontId="5" fillId="0" borderId="0" xfId="1" applyNumberFormat="1" applyFont="1" applyBorder="1" applyAlignment="1">
      <alignment horizontal="center"/>
    </xf>
    <xf numFmtId="172" fontId="0" fillId="0" borderId="0" xfId="0" applyNumberFormat="1"/>
    <xf numFmtId="172" fontId="5" fillId="0" borderId="0" xfId="1" applyNumberFormat="1" applyFont="1" applyAlignment="1">
      <alignment horizontal="center"/>
    </xf>
    <xf numFmtId="2" fontId="0" fillId="0" borderId="0" xfId="0" applyNumberFormat="1"/>
    <xf numFmtId="170" fontId="5" fillId="0" borderId="0" xfId="1" applyNumberFormat="1" applyFont="1" applyBorder="1" applyAlignment="1">
      <alignment horizontal="left"/>
    </xf>
    <xf numFmtId="0" fontId="5" fillId="0" borderId="0" xfId="1" applyNumberFormat="1" applyFont="1" applyBorder="1" applyAlignment="1">
      <alignment horizontal="center"/>
    </xf>
    <xf numFmtId="38" fontId="0" fillId="0" borderId="0" xfId="0" applyNumberFormat="1"/>
    <xf numFmtId="170" fontId="0" fillId="0" borderId="0" xfId="0" applyNumberFormat="1"/>
    <xf numFmtId="170" fontId="0" fillId="0" borderId="1" xfId="0" applyNumberFormat="1" applyBorder="1"/>
    <xf numFmtId="40" fontId="0" fillId="0" borderId="0" xfId="0" applyNumberFormat="1"/>
    <xf numFmtId="1" fontId="5" fillId="2" borderId="0" xfId="0" applyNumberFormat="1" applyFont="1" applyFill="1" applyBorder="1" applyAlignment="1">
      <alignment horizontal="center"/>
    </xf>
    <xf numFmtId="2" fontId="0" fillId="2" borderId="0" xfId="0" applyNumberFormat="1" applyFill="1" applyAlignment="1">
      <alignment horizontal="center"/>
    </xf>
    <xf numFmtId="166" fontId="0" fillId="2" borderId="0" xfId="0" applyNumberFormat="1" applyFill="1" applyAlignment="1">
      <alignment horizontal="center"/>
    </xf>
    <xf numFmtId="0" fontId="0" fillId="2" borderId="0" xfId="0" applyFill="1" applyAlignment="1">
      <alignment horizontal="center"/>
    </xf>
    <xf numFmtId="38" fontId="5" fillId="2" borderId="0" xfId="1" applyNumberFormat="1" applyFont="1" applyFill="1" applyAlignment="1">
      <alignment horizontal="right"/>
    </xf>
    <xf numFmtId="170" fontId="5" fillId="2" borderId="0" xfId="1" applyNumberFormat="1" applyFont="1" applyFill="1" applyBorder="1" applyAlignment="1">
      <alignment horizontal="center"/>
    </xf>
    <xf numFmtId="2" fontId="0" fillId="0" borderId="0" xfId="0" applyNumberFormat="1" applyFill="1" applyAlignment="1">
      <alignment horizontal="center"/>
    </xf>
    <xf numFmtId="165" fontId="5" fillId="0" borderId="0" xfId="0" applyNumberFormat="1" applyFont="1" applyAlignment="1">
      <alignment horizontal="center"/>
    </xf>
    <xf numFmtId="0" fontId="0" fillId="3" borderId="0" xfId="0" applyFill="1" applyAlignment="1">
      <alignment horizontal="center"/>
    </xf>
    <xf numFmtId="0" fontId="5" fillId="3" borderId="0" xfId="0" applyFont="1" applyFill="1" applyAlignment="1">
      <alignment horizontal="center"/>
    </xf>
    <xf numFmtId="0" fontId="0" fillId="0" borderId="0" xfId="0" applyFill="1"/>
    <xf numFmtId="1" fontId="5" fillId="3" borderId="0" xfId="2" applyNumberFormat="1" applyFont="1" applyFill="1" applyAlignment="1">
      <alignment horizontal="center"/>
    </xf>
    <xf numFmtId="1" fontId="2" fillId="3" borderId="0" xfId="0" applyNumberFormat="1" applyFont="1" applyFill="1" applyBorder="1" applyAlignment="1">
      <alignment horizontal="center"/>
    </xf>
    <xf numFmtId="0" fontId="2" fillId="3" borderId="0" xfId="0" applyFont="1" applyFill="1" applyBorder="1" applyAlignment="1">
      <alignment horizontal="center"/>
    </xf>
    <xf numFmtId="2" fontId="2" fillId="3" borderId="0" xfId="0" applyNumberFormat="1" applyFont="1" applyFill="1" applyBorder="1" applyAlignment="1">
      <alignment horizontal="center"/>
    </xf>
    <xf numFmtId="2" fontId="2" fillId="3" borderId="0" xfId="2" applyNumberFormat="1" applyFont="1" applyFill="1" applyBorder="1" applyAlignment="1">
      <alignment horizontal="center"/>
    </xf>
    <xf numFmtId="165" fontId="0" fillId="3" borderId="0" xfId="0" applyNumberFormat="1" applyFill="1" applyAlignment="1">
      <alignment horizontal="center"/>
    </xf>
    <xf numFmtId="0" fontId="5" fillId="0" borderId="2" xfId="0" applyFont="1" applyFill="1" applyBorder="1"/>
    <xf numFmtId="0" fontId="0" fillId="0" borderId="2" xfId="0" applyFill="1" applyBorder="1"/>
    <xf numFmtId="0" fontId="5" fillId="0" borderId="3" xfId="0" applyFont="1" applyBorder="1"/>
    <xf numFmtId="0" fontId="0" fillId="0" borderId="3" xfId="0" applyBorder="1"/>
    <xf numFmtId="0" fontId="0" fillId="2" borderId="4" xfId="0" applyFill="1" applyBorder="1"/>
    <xf numFmtId="0" fontId="7" fillId="0" borderId="5" xfId="0" applyFont="1" applyFill="1" applyBorder="1"/>
    <xf numFmtId="0" fontId="7" fillId="0" borderId="6" xfId="0" applyFont="1" applyFill="1" applyBorder="1"/>
    <xf numFmtId="2" fontId="2" fillId="0" borderId="0" xfId="0" applyNumberFormat="1" applyFont="1" applyFill="1" applyBorder="1" applyAlignment="1">
      <alignment horizontal="center"/>
    </xf>
    <xf numFmtId="172" fontId="5" fillId="0" borderId="0" xfId="1" applyNumberFormat="1" applyFont="1" applyAlignment="1">
      <alignment horizontal="right"/>
    </xf>
    <xf numFmtId="2" fontId="0" fillId="4" borderId="0" xfId="0" applyNumberFormat="1" applyFill="1" applyAlignment="1"/>
    <xf numFmtId="2" fontId="0" fillId="4" borderId="0" xfId="0" applyNumberFormat="1" applyFill="1" applyAlignment="1">
      <alignment horizontal="center"/>
    </xf>
    <xf numFmtId="0" fontId="0" fillId="4" borderId="7" xfId="0" applyFill="1" applyBorder="1"/>
    <xf numFmtId="170" fontId="0" fillId="0" borderId="0" xfId="1" applyNumberFormat="1" applyFont="1"/>
    <xf numFmtId="40" fontId="5" fillId="0" borderId="0" xfId="1" applyNumberFormat="1" applyFont="1" applyAlignment="1">
      <alignment horizontal="right"/>
    </xf>
    <xf numFmtId="169" fontId="0" fillId="0" borderId="0" xfId="1" applyNumberFormat="1" applyFont="1" applyAlignment="1">
      <alignment horizontal="right"/>
    </xf>
    <xf numFmtId="170" fontId="0" fillId="0" borderId="0" xfId="1" applyNumberFormat="1" applyFont="1" applyAlignment="1">
      <alignment horizontal="right"/>
    </xf>
    <xf numFmtId="169" fontId="0" fillId="0" borderId="0" xfId="0" applyNumberFormat="1"/>
    <xf numFmtId="171" fontId="0" fillId="0" borderId="0" xfId="0" applyNumberFormat="1"/>
    <xf numFmtId="3" fontId="0" fillId="0" borderId="0" xfId="0" applyNumberFormat="1"/>
    <xf numFmtId="169" fontId="5" fillId="2" borderId="0" xfId="1" applyNumberFormat="1" applyFont="1" applyFill="1" applyBorder="1" applyAlignment="1">
      <alignment horizontal="center"/>
    </xf>
    <xf numFmtId="0" fontId="0" fillId="0" borderId="0" xfId="0" applyFill="1" applyAlignment="1">
      <alignment horizontal="center"/>
    </xf>
    <xf numFmtId="0" fontId="2" fillId="0" borderId="0" xfId="0" applyFont="1" applyFill="1" applyBorder="1" applyAlignment="1">
      <alignment horizontal="center"/>
    </xf>
    <xf numFmtId="165" fontId="0" fillId="0" borderId="0" xfId="0" applyNumberFormat="1" applyFill="1" applyAlignment="1">
      <alignment horizontal="center"/>
    </xf>
    <xf numFmtId="165" fontId="0" fillId="0" borderId="0" xfId="0" applyNumberFormat="1"/>
    <xf numFmtId="1" fontId="0" fillId="0" borderId="0" xfId="0" applyNumberFormat="1" applyFill="1" applyAlignment="1">
      <alignment horizontal="center"/>
    </xf>
    <xf numFmtId="3" fontId="5" fillId="0" borderId="0" xfId="0" applyNumberFormat="1" applyFont="1" applyFill="1" applyBorder="1" applyAlignment="1">
      <alignment horizontal="center"/>
    </xf>
    <xf numFmtId="1" fontId="7" fillId="0" borderId="0" xfId="0" applyNumberFormat="1" applyFont="1" applyAlignment="1">
      <alignment horizontal="center"/>
    </xf>
    <xf numFmtId="0" fontId="0" fillId="5" borderId="0" xfId="0" applyFill="1" applyAlignment="1">
      <alignment horizontal="center"/>
    </xf>
    <xf numFmtId="0" fontId="7" fillId="0" borderId="6" xfId="0" applyFont="1" applyBorder="1"/>
    <xf numFmtId="0" fontId="0" fillId="5" borderId="4" xfId="0" applyFill="1" applyBorder="1"/>
    <xf numFmtId="0" fontId="7" fillId="0" borderId="5" xfId="0" applyFont="1" applyBorder="1"/>
    <xf numFmtId="0" fontId="0" fillId="0" borderId="2" xfId="0" applyBorder="1"/>
    <xf numFmtId="0" fontId="0" fillId="0" borderId="3" xfId="0" applyFill="1" applyBorder="1"/>
    <xf numFmtId="0" fontId="7" fillId="0" borderId="0" xfId="0" applyFont="1" applyBorder="1" applyAlignment="1">
      <alignment horizontal="left"/>
    </xf>
    <xf numFmtId="0" fontId="11" fillId="0" borderId="0" xfId="0" applyFont="1" applyAlignment="1">
      <alignment horizontal="left"/>
    </xf>
    <xf numFmtId="0" fontId="2" fillId="0" borderId="0" xfId="0" applyFont="1" applyFill="1" applyBorder="1" applyAlignment="1">
      <alignment horizontal="left"/>
    </xf>
    <xf numFmtId="0" fontId="7" fillId="0" borderId="0" xfId="0" applyFont="1" applyFill="1" applyBorder="1" applyAlignment="1">
      <alignment horizontal="left"/>
    </xf>
    <xf numFmtId="0" fontId="3" fillId="0" borderId="0" xfId="0" applyFont="1" applyAlignment="1">
      <alignment horizontal="right"/>
    </xf>
    <xf numFmtId="0" fontId="5" fillId="0" borderId="0" xfId="0" applyFont="1" applyFill="1" applyAlignment="1">
      <alignment horizontal="left"/>
    </xf>
    <xf numFmtId="0" fontId="5" fillId="0" borderId="0" xfId="0" applyFont="1" applyFill="1" applyAlignment="1">
      <alignment horizontal="center"/>
    </xf>
    <xf numFmtId="1" fontId="5" fillId="0" borderId="0" xfId="2" applyNumberFormat="1" applyFont="1" applyFill="1" applyAlignment="1">
      <alignment horizontal="center"/>
    </xf>
    <xf numFmtId="0" fontId="2" fillId="0" borderId="0" xfId="0" applyFont="1" applyFill="1" applyBorder="1"/>
    <xf numFmtId="2" fontId="5" fillId="0" borderId="0" xfId="0" applyNumberFormat="1" applyFont="1" applyFill="1" applyBorder="1" applyAlignment="1">
      <alignment horizontal="center"/>
    </xf>
    <xf numFmtId="1" fontId="2" fillId="0" borderId="0" xfId="0" applyNumberFormat="1" applyFont="1" applyFill="1" applyBorder="1" applyAlignment="1">
      <alignment horizontal="center"/>
    </xf>
    <xf numFmtId="0" fontId="0" fillId="0" borderId="0" xfId="0" applyFill="1" applyBorder="1"/>
    <xf numFmtId="2" fontId="0" fillId="0" borderId="0" xfId="0" applyNumberFormat="1" applyFill="1" applyAlignment="1"/>
    <xf numFmtId="2" fontId="0" fillId="0" borderId="0" xfId="1" applyNumberFormat="1" applyFont="1" applyFill="1" applyAlignment="1"/>
    <xf numFmtId="2" fontId="5" fillId="0" borderId="0" xfId="0" applyNumberFormat="1" applyFont="1" applyFill="1" applyAlignment="1"/>
    <xf numFmtId="1" fontId="5" fillId="3" borderId="0" xfId="0" applyNumberFormat="1" applyFont="1" applyFill="1" applyAlignment="1">
      <alignment horizontal="center"/>
    </xf>
    <xf numFmtId="0" fontId="11" fillId="0" borderId="0" xfId="0" applyFont="1" applyBorder="1" applyAlignment="1">
      <alignment horizontal="right"/>
    </xf>
    <xf numFmtId="0" fontId="14" fillId="0" borderId="0" xfId="0" applyFont="1" applyBorder="1" applyAlignment="1">
      <alignment horizontal="center"/>
    </xf>
    <xf numFmtId="170" fontId="5" fillId="2" borderId="0" xfId="1" applyNumberFormat="1" applyFont="1" applyFill="1" applyAlignment="1">
      <alignment horizontal="left"/>
    </xf>
    <xf numFmtId="2" fontId="5" fillId="2" borderId="0" xfId="1" applyNumberFormat="1" applyFont="1" applyFill="1" applyBorder="1" applyAlignment="1">
      <alignment horizontal="center"/>
    </xf>
    <xf numFmtId="170" fontId="5" fillId="0" borderId="0" xfId="1" applyNumberFormat="1" applyFont="1" applyFill="1" applyBorder="1" applyAlignment="1">
      <alignment horizontal="center"/>
    </xf>
    <xf numFmtId="38" fontId="7" fillId="0" borderId="0" xfId="1" applyNumberFormat="1" applyFont="1" applyBorder="1" applyAlignment="1">
      <alignment horizontal="center"/>
    </xf>
    <xf numFmtId="0" fontId="5" fillId="0" borderId="0" xfId="0" applyFont="1" applyFill="1" applyBorder="1" applyAlignment="1">
      <alignment horizontal="center"/>
    </xf>
    <xf numFmtId="1" fontId="5" fillId="0" borderId="0" xfId="1" applyNumberFormat="1" applyFont="1" applyBorder="1" applyAlignment="1">
      <alignment horizontal="center"/>
    </xf>
    <xf numFmtId="165" fontId="0" fillId="2" borderId="0" xfId="0" applyNumberFormat="1" applyFill="1" applyAlignment="1">
      <alignment horizontal="center"/>
    </xf>
    <xf numFmtId="165" fontId="5" fillId="0" borderId="0" xfId="1" applyNumberFormat="1" applyFont="1" applyBorder="1" applyAlignment="1">
      <alignment horizontal="center"/>
    </xf>
    <xf numFmtId="166" fontId="0" fillId="0" borderId="0" xfId="0" applyNumberFormat="1" applyFill="1" applyAlignment="1">
      <alignment horizontal="center"/>
    </xf>
    <xf numFmtId="166" fontId="0" fillId="3" borderId="0" xfId="0" applyNumberFormat="1" applyFill="1" applyAlignment="1">
      <alignment horizontal="center"/>
    </xf>
    <xf numFmtId="0" fontId="0" fillId="0" borderId="0" xfId="0" applyFill="1" applyAlignment="1">
      <alignment horizontal="right"/>
    </xf>
    <xf numFmtId="1" fontId="15" fillId="0" borderId="0" xfId="0" applyNumberFormat="1" applyFont="1" applyBorder="1" applyAlignment="1">
      <alignment horizontal="center"/>
    </xf>
    <xf numFmtId="1" fontId="0" fillId="5" borderId="0" xfId="0" applyNumberFormat="1" applyFill="1" applyAlignment="1">
      <alignment horizontal="center"/>
    </xf>
    <xf numFmtId="1" fontId="0" fillId="0" borderId="0" xfId="1" applyNumberFormat="1" applyFont="1" applyAlignment="1">
      <alignment horizontal="center"/>
    </xf>
    <xf numFmtId="1" fontId="0" fillId="0" borderId="0" xfId="0" applyNumberFormat="1"/>
    <xf numFmtId="165" fontId="15" fillId="0" borderId="0" xfId="0" applyNumberFormat="1" applyFont="1" applyAlignment="1">
      <alignment horizontal="center"/>
    </xf>
    <xf numFmtId="177" fontId="0" fillId="0" borderId="0" xfId="0" applyNumberFormat="1"/>
    <xf numFmtId="4" fontId="0" fillId="0" borderId="0" xfId="0" applyNumberFormat="1" applyAlignment="1">
      <alignment horizontal="center"/>
    </xf>
    <xf numFmtId="1" fontId="0" fillId="0" borderId="0" xfId="0" applyNumberFormat="1" applyFill="1" applyBorder="1" applyAlignment="1">
      <alignment horizontal="center"/>
    </xf>
    <xf numFmtId="43" fontId="5" fillId="0" borderId="0" xfId="1" applyNumberFormat="1" applyFont="1" applyBorder="1" applyAlignment="1">
      <alignment horizontal="center"/>
    </xf>
    <xf numFmtId="40" fontId="5" fillId="2" borderId="0" xfId="1" applyNumberFormat="1" applyFont="1" applyFill="1" applyAlignment="1">
      <alignment horizontal="center"/>
    </xf>
    <xf numFmtId="43" fontId="5" fillId="2" borderId="0" xfId="1" applyNumberFormat="1" applyFont="1" applyFill="1" applyBorder="1" applyAlignment="1">
      <alignment horizontal="center"/>
    </xf>
    <xf numFmtId="169" fontId="2" fillId="5" borderId="0" xfId="1" applyNumberFormat="1" applyFont="1" applyFill="1" applyBorder="1" applyAlignment="1">
      <alignment horizontal="right"/>
    </xf>
    <xf numFmtId="43" fontId="2" fillId="5" borderId="0" xfId="1" applyFont="1" applyFill="1" applyBorder="1" applyAlignment="1">
      <alignment horizontal="left"/>
    </xf>
    <xf numFmtId="43" fontId="0" fillId="5" borderId="0" xfId="1" applyFont="1" applyFill="1" applyAlignment="1">
      <alignment horizontal="center"/>
    </xf>
    <xf numFmtId="176" fontId="5" fillId="0" borderId="0" xfId="0" applyNumberFormat="1" applyFont="1" applyAlignment="1">
      <alignment horizontal="center"/>
    </xf>
    <xf numFmtId="166" fontId="5" fillId="0" borderId="0" xfId="1" applyNumberFormat="1" applyFont="1" applyAlignment="1">
      <alignment horizontal="center"/>
    </xf>
    <xf numFmtId="0" fontId="15" fillId="0" borderId="0" xfId="0" applyFont="1"/>
    <xf numFmtId="170" fontId="0" fillId="5" borderId="0" xfId="1" applyNumberFormat="1" applyFont="1" applyFill="1" applyAlignment="1">
      <alignment horizontal="center"/>
    </xf>
    <xf numFmtId="170" fontId="0" fillId="0" borderId="0" xfId="0" applyNumberFormat="1" applyBorder="1"/>
    <xf numFmtId="1" fontId="5" fillId="0" borderId="0" xfId="0" applyNumberFormat="1" applyFont="1" applyAlignment="1">
      <alignment horizontal="center"/>
    </xf>
    <xf numFmtId="178" fontId="0" fillId="0" borderId="0" xfId="0" applyNumberFormat="1" applyAlignment="1">
      <alignment horizontal="center"/>
    </xf>
    <xf numFmtId="179" fontId="0" fillId="0" borderId="0" xfId="0" applyNumberFormat="1" applyAlignment="1">
      <alignment horizontal="center"/>
    </xf>
    <xf numFmtId="175" fontId="0" fillId="0" borderId="0" xfId="0" applyNumberFormat="1" applyAlignment="1">
      <alignment horizontal="center"/>
    </xf>
    <xf numFmtId="168" fontId="0" fillId="0" borderId="0" xfId="0" applyNumberFormat="1" applyAlignment="1">
      <alignment horizontal="center"/>
    </xf>
    <xf numFmtId="165" fontId="17" fillId="5" borderId="0" xfId="0" applyNumberFormat="1" applyFont="1" applyFill="1" applyAlignment="1">
      <alignment horizontal="center"/>
    </xf>
    <xf numFmtId="165" fontId="16" fillId="5" borderId="0" xfId="0" applyNumberFormat="1" applyFont="1" applyFill="1" applyAlignment="1">
      <alignment horizontal="center"/>
    </xf>
    <xf numFmtId="165" fontId="15" fillId="5" borderId="0" xfId="0" applyNumberFormat="1" applyFont="1" applyFill="1" applyAlignment="1">
      <alignment horizontal="center"/>
    </xf>
    <xf numFmtId="38" fontId="0" fillId="0" borderId="0" xfId="0" applyNumberFormat="1" applyAlignment="1">
      <alignment horizontal="center"/>
    </xf>
    <xf numFmtId="38" fontId="0" fillId="2" borderId="0" xfId="0" applyNumberFormat="1" applyFill="1"/>
    <xf numFmtId="0" fontId="15" fillId="0" borderId="0" xfId="0" applyFont="1" applyBorder="1"/>
    <xf numFmtId="170" fontId="0" fillId="2" borderId="0" xfId="0" applyNumberFormat="1" applyFill="1"/>
    <xf numFmtId="38" fontId="15" fillId="0" borderId="0" xfId="1" applyNumberFormat="1" applyFont="1" applyAlignment="1">
      <alignment horizontal="right"/>
    </xf>
    <xf numFmtId="0" fontId="19" fillId="0" borderId="0" xfId="0" applyFont="1"/>
    <xf numFmtId="38" fontId="19" fillId="0" borderId="0" xfId="0" applyNumberFormat="1" applyFont="1"/>
    <xf numFmtId="38" fontId="7" fillId="0" borderId="0" xfId="0" applyNumberFormat="1" applyFont="1"/>
    <xf numFmtId="40" fontId="7" fillId="0" borderId="0" xfId="0" applyNumberFormat="1" applyFont="1"/>
    <xf numFmtId="0" fontId="0" fillId="0" borderId="0" xfId="0" applyAlignment="1">
      <alignment vertical="top" wrapText="1"/>
    </xf>
    <xf numFmtId="167" fontId="0" fillId="0" borderId="0" xfId="0" applyNumberFormat="1" applyAlignment="1">
      <alignment horizontal="center"/>
    </xf>
    <xf numFmtId="165" fontId="0" fillId="5" borderId="0" xfId="0" applyNumberFormat="1" applyFill="1" applyAlignment="1">
      <alignment horizontal="center"/>
    </xf>
    <xf numFmtId="170" fontId="2" fillId="5" borderId="0" xfId="0" applyNumberFormat="1" applyFont="1" applyFill="1" applyBorder="1" applyAlignment="1">
      <alignment horizontal="left"/>
    </xf>
    <xf numFmtId="170" fontId="2" fillId="0" borderId="0" xfId="0" applyNumberFormat="1" applyFont="1" applyFill="1" applyBorder="1" applyAlignment="1">
      <alignment horizontal="left"/>
    </xf>
    <xf numFmtId="0" fontId="3" fillId="0" borderId="0" xfId="0" applyFont="1" applyFill="1" applyBorder="1"/>
    <xf numFmtId="2" fontId="0" fillId="0" borderId="0" xfId="0" applyNumberFormat="1" applyFill="1" applyBorder="1" applyAlignment="1">
      <alignment horizontal="center"/>
    </xf>
    <xf numFmtId="0" fontId="10" fillId="0" borderId="0" xfId="0" applyFont="1" applyFill="1" applyBorder="1" applyAlignment="1">
      <alignment horizontal="center"/>
    </xf>
    <xf numFmtId="43" fontId="0" fillId="0" borderId="1" xfId="1" applyFont="1" applyBorder="1" applyAlignment="1">
      <alignment horizontal="center"/>
    </xf>
    <xf numFmtId="43" fontId="0" fillId="0" borderId="1" xfId="1" applyFont="1" applyBorder="1"/>
    <xf numFmtId="40" fontId="0" fillId="2" borderId="0" xfId="0" applyNumberFormat="1" applyFill="1" applyAlignment="1">
      <alignment horizontal="center"/>
    </xf>
    <xf numFmtId="170" fontId="0" fillId="0" borderId="0" xfId="1" applyNumberFormat="1" applyFont="1" applyAlignment="1">
      <alignment horizontal="center"/>
    </xf>
    <xf numFmtId="38" fontId="5" fillId="2" borderId="0" xfId="1" applyNumberFormat="1" applyFont="1" applyFill="1" applyBorder="1" applyAlignment="1">
      <alignment horizontal="right"/>
    </xf>
    <xf numFmtId="170" fontId="0" fillId="0" borderId="0" xfId="0" applyNumberFormat="1" applyAlignment="1">
      <alignment horizontal="center"/>
    </xf>
    <xf numFmtId="0" fontId="7" fillId="0" borderId="0" xfId="0" applyFont="1" applyFill="1"/>
    <xf numFmtId="0" fontId="5" fillId="0" borderId="0" xfId="0" applyFont="1" applyFill="1"/>
    <xf numFmtId="0" fontId="3" fillId="0" borderId="0" xfId="0" applyFont="1" applyFill="1" applyAlignment="1">
      <alignment horizontal="center"/>
    </xf>
    <xf numFmtId="0" fontId="11" fillId="0" borderId="0" xfId="0" applyFont="1" applyFill="1"/>
    <xf numFmtId="40" fontId="0" fillId="0" borderId="0" xfId="0" applyNumberFormat="1" applyFill="1"/>
    <xf numFmtId="170" fontId="0" fillId="0" borderId="0" xfId="0" applyNumberFormat="1" applyFill="1"/>
    <xf numFmtId="165" fontId="0" fillId="0" borderId="0" xfId="0" applyNumberFormat="1" applyFill="1"/>
    <xf numFmtId="180" fontId="7" fillId="0" borderId="0" xfId="0" applyNumberFormat="1" applyFont="1" applyBorder="1"/>
    <xf numFmtId="2" fontId="15" fillId="0" borderId="0" xfId="0" applyNumberFormat="1" applyFont="1" applyAlignment="1">
      <alignment horizontal="center"/>
    </xf>
    <xf numFmtId="1" fontId="20" fillId="0" borderId="0" xfId="0" applyNumberFormat="1" applyFont="1" applyAlignment="1">
      <alignment horizontal="center"/>
    </xf>
    <xf numFmtId="164" fontId="0" fillId="5" borderId="0" xfId="0" applyNumberFormat="1" applyFill="1" applyAlignment="1">
      <alignment horizontal="center"/>
    </xf>
    <xf numFmtId="170" fontId="7" fillId="6" borderId="0" xfId="1" applyNumberFormat="1" applyFont="1" applyFill="1" applyBorder="1" applyAlignment="1">
      <alignment horizontal="right"/>
    </xf>
    <xf numFmtId="0" fontId="2" fillId="0" borderId="0" xfId="0" applyFont="1" applyAlignment="1">
      <alignment horizontal="center"/>
    </xf>
    <xf numFmtId="0" fontId="21" fillId="0" borderId="0" xfId="0" applyFont="1" applyAlignment="1">
      <alignment horizontal="center"/>
    </xf>
    <xf numFmtId="0" fontId="21" fillId="0" borderId="0"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2" fillId="0" borderId="0" xfId="2" applyNumberFormat="1" applyFont="1" applyAlignment="1">
      <alignment horizontal="center"/>
    </xf>
    <xf numFmtId="1" fontId="22" fillId="0" borderId="0" xfId="0" applyNumberFormat="1" applyFont="1" applyBorder="1" applyAlignment="1">
      <alignment horizontal="center"/>
    </xf>
    <xf numFmtId="0" fontId="22" fillId="0" borderId="0" xfId="2" applyNumberFormat="1" applyFont="1" applyBorder="1" applyAlignment="1">
      <alignment horizontal="center"/>
    </xf>
    <xf numFmtId="2" fontId="22" fillId="0" borderId="0" xfId="2" applyNumberFormat="1" applyFont="1" applyBorder="1" applyAlignment="1">
      <alignment horizontal="center"/>
    </xf>
    <xf numFmtId="2" fontId="22" fillId="0" borderId="0" xfId="0" applyNumberFormat="1" applyFont="1" applyBorder="1" applyAlignment="1">
      <alignment horizontal="center"/>
    </xf>
    <xf numFmtId="0" fontId="22" fillId="0" borderId="0" xfId="0" applyFont="1" applyFill="1" applyAlignment="1">
      <alignment horizontal="center"/>
    </xf>
    <xf numFmtId="166" fontId="22" fillId="0" borderId="0" xfId="0" applyNumberFormat="1" applyFont="1" applyFill="1" applyAlignment="1">
      <alignment horizontal="center"/>
    </xf>
    <xf numFmtId="2" fontId="22" fillId="0" borderId="0" xfId="0" applyNumberFormat="1" applyFont="1" applyAlignment="1">
      <alignment horizontal="center"/>
    </xf>
    <xf numFmtId="0" fontId="7" fillId="0" borderId="0" xfId="0" applyFont="1" applyFill="1" applyAlignment="1">
      <alignment horizontal="center"/>
    </xf>
    <xf numFmtId="0" fontId="23" fillId="0" borderId="0" xfId="0" applyFont="1" applyAlignment="1">
      <alignment horizontal="center"/>
    </xf>
    <xf numFmtId="0" fontId="2" fillId="0" borderId="0" xfId="0" applyFont="1"/>
    <xf numFmtId="0" fontId="0" fillId="7" borderId="7" xfId="0" applyFill="1" applyBorder="1"/>
    <xf numFmtId="1" fontId="0" fillId="8" borderId="0" xfId="0" applyNumberFormat="1" applyFill="1" applyAlignment="1">
      <alignment horizontal="center"/>
    </xf>
    <xf numFmtId="165" fontId="2" fillId="0" borderId="0" xfId="0" applyNumberFormat="1" applyFont="1" applyAlignment="1">
      <alignment horizontal="center"/>
    </xf>
    <xf numFmtId="0" fontId="0" fillId="0" borderId="0" xfId="0" applyAlignment="1">
      <alignment horizontal="center"/>
    </xf>
    <xf numFmtId="0" fontId="2" fillId="0" borderId="0" xfId="0" applyFont="1" applyAlignment="1">
      <alignment horizontal="right"/>
    </xf>
    <xf numFmtId="0" fontId="24" fillId="0" borderId="0" xfId="0" applyFont="1"/>
    <xf numFmtId="1" fontId="2" fillId="0" borderId="0" xfId="0" applyNumberFormat="1" applyFont="1" applyAlignment="1">
      <alignment horizontal="center"/>
    </xf>
    <xf numFmtId="0" fontId="2" fillId="0" borderId="0" xfId="0" applyFont="1" applyAlignment="1">
      <alignment horizontal="left"/>
    </xf>
    <xf numFmtId="0" fontId="0" fillId="9" borderId="0" xfId="0" applyFill="1" applyAlignment="1">
      <alignment horizontal="center"/>
    </xf>
    <xf numFmtId="40" fontId="7" fillId="0" borderId="0" xfId="0" applyNumberFormat="1" applyFont="1" applyAlignment="1"/>
    <xf numFmtId="0" fontId="25" fillId="0" borderId="0" xfId="0" applyFont="1"/>
    <xf numFmtId="0" fontId="25" fillId="0" borderId="0" xfId="0" applyFont="1" applyAlignment="1">
      <alignment horizontal="center"/>
    </xf>
    <xf numFmtId="165" fontId="2" fillId="0" borderId="0" xfId="0" applyNumberFormat="1" applyFont="1" applyFill="1" applyAlignment="1">
      <alignment horizontal="center"/>
    </xf>
    <xf numFmtId="170" fontId="25" fillId="0" borderId="0" xfId="0" applyNumberFormat="1" applyFont="1" applyAlignment="1">
      <alignment horizontal="center"/>
    </xf>
    <xf numFmtId="0" fontId="2" fillId="0" borderId="0" xfId="0" applyFont="1" applyFill="1"/>
    <xf numFmtId="0" fontId="2" fillId="8" borderId="0" xfId="0" applyFont="1" applyFill="1" applyAlignment="1">
      <alignment horizontal="center"/>
    </xf>
    <xf numFmtId="165" fontId="0" fillId="8" borderId="0" xfId="0" applyNumberFormat="1" applyFill="1" applyAlignment="1">
      <alignment horizontal="center"/>
    </xf>
    <xf numFmtId="37" fontId="0" fillId="0" borderId="0" xfId="0" applyNumberFormat="1" applyAlignment="1">
      <alignment horizontal="right"/>
    </xf>
    <xf numFmtId="167" fontId="0" fillId="10" borderId="0" xfId="0" applyNumberFormat="1" applyFill="1" applyAlignment="1">
      <alignment horizontal="center"/>
    </xf>
    <xf numFmtId="0" fontId="2" fillId="8" borderId="0" xfId="0" applyFont="1" applyFill="1" applyBorder="1" applyAlignment="1">
      <alignment horizontal="center"/>
    </xf>
    <xf numFmtId="0" fontId="2" fillId="0" borderId="0" xfId="0" applyFont="1" applyFill="1" applyAlignment="1">
      <alignment horizontal="center"/>
    </xf>
    <xf numFmtId="43" fontId="0" fillId="0" borderId="0" xfId="1" applyFont="1" applyBorder="1" applyAlignment="1">
      <alignment horizontal="center"/>
    </xf>
    <xf numFmtId="0" fontId="7" fillId="0" borderId="0" xfId="0" applyFont="1" applyFill="1" applyBorder="1" applyAlignment="1">
      <alignment horizontal="center"/>
    </xf>
    <xf numFmtId="0" fontId="7" fillId="0" borderId="0" xfId="0" applyFont="1" applyAlignment="1">
      <alignment horizontal="center"/>
    </xf>
    <xf numFmtId="43" fontId="0" fillId="0" borderId="0" xfId="1" applyFont="1" applyAlignment="1">
      <alignment horizontal="right"/>
    </xf>
    <xf numFmtId="0" fontId="0" fillId="10" borderId="0" xfId="0" applyFill="1"/>
    <xf numFmtId="0" fontId="2" fillId="10" borderId="0" xfId="0" applyFont="1" applyFill="1" applyAlignment="1">
      <alignment horizontal="left"/>
    </xf>
    <xf numFmtId="0" fontId="2" fillId="0" borderId="0" xfId="0" applyFont="1" applyFill="1" applyAlignment="1">
      <alignment horizontal="left"/>
    </xf>
    <xf numFmtId="181" fontId="5" fillId="2" borderId="0" xfId="1" applyNumberFormat="1" applyFont="1" applyFill="1" applyAlignment="1">
      <alignment horizontal="right"/>
    </xf>
    <xf numFmtId="181" fontId="5" fillId="0" borderId="0" xfId="1" applyNumberFormat="1" applyFont="1" applyAlignment="1">
      <alignment horizontal="right"/>
    </xf>
    <xf numFmtId="173" fontId="5" fillId="0" borderId="0" xfId="1" applyNumberFormat="1" applyFont="1" applyBorder="1" applyAlignment="1">
      <alignment horizontal="center"/>
    </xf>
    <xf numFmtId="175" fontId="5" fillId="0" borderId="0" xfId="0" applyNumberFormat="1" applyFont="1" applyAlignment="1">
      <alignment horizontal="center"/>
    </xf>
    <xf numFmtId="170" fontId="2" fillId="0" borderId="0" xfId="0" applyNumberFormat="1" applyFont="1"/>
    <xf numFmtId="170" fontId="0" fillId="0" borderId="0" xfId="1" applyNumberFormat="1" applyFont="1" applyBorder="1" applyAlignment="1">
      <alignment horizontal="center"/>
    </xf>
    <xf numFmtId="0" fontId="7" fillId="0" borderId="0" xfId="0" applyFont="1" applyAlignment="1">
      <alignment horizontal="center"/>
    </xf>
    <xf numFmtId="167" fontId="2" fillId="0" borderId="0" xfId="3" applyNumberFormat="1" applyAlignment="1">
      <alignment horizontal="center"/>
    </xf>
    <xf numFmtId="167" fontId="7" fillId="0" borderId="0" xfId="3" applyNumberFormat="1" applyFont="1" applyAlignment="1">
      <alignment horizontal="center"/>
    </xf>
    <xf numFmtId="0" fontId="7" fillId="0" borderId="0" xfId="0" applyFont="1" applyFill="1" applyBorder="1" applyAlignment="1">
      <alignment horizontal="center"/>
    </xf>
    <xf numFmtId="0" fontId="7" fillId="0" borderId="0" xfId="0" applyFont="1" applyAlignment="1">
      <alignment horizontal="center"/>
    </xf>
    <xf numFmtId="0" fontId="0" fillId="0" borderId="0" xfId="0" applyFont="1" applyFill="1" applyBorder="1" applyAlignment="1">
      <alignment horizontal="center"/>
    </xf>
    <xf numFmtId="168" fontId="0" fillId="0" borderId="0" xfId="0" applyNumberFormat="1" applyFont="1" applyFill="1" applyBorder="1" applyAlignment="1">
      <alignment horizontal="center"/>
    </xf>
    <xf numFmtId="168" fontId="7" fillId="0" borderId="0" xfId="0" applyNumberFormat="1" applyFont="1" applyFill="1" applyBorder="1" applyAlignment="1">
      <alignment horizontal="center"/>
    </xf>
    <xf numFmtId="0" fontId="0" fillId="0" borderId="0" xfId="0" applyAlignment="1"/>
    <xf numFmtId="0" fontId="2" fillId="0" borderId="0" xfId="0" applyFont="1" applyAlignment="1"/>
    <xf numFmtId="0" fontId="2" fillId="0" borderId="0" xfId="0" applyFont="1" applyAlignment="1">
      <alignment vertical="center"/>
    </xf>
    <xf numFmtId="2" fontId="2" fillId="0" borderId="0" xfId="0" applyNumberFormat="1" applyFont="1"/>
    <xf numFmtId="166" fontId="27" fillId="0" borderId="0" xfId="0" applyNumberFormat="1" applyFont="1" applyFill="1" applyBorder="1" applyAlignment="1">
      <alignment horizontal="center"/>
    </xf>
    <xf numFmtId="0" fontId="7" fillId="0" borderId="1" xfId="0" applyFont="1" applyBorder="1" applyAlignment="1">
      <alignment horizontal="center"/>
    </xf>
    <xf numFmtId="0" fontId="7" fillId="0" borderId="0" xfId="0" applyFont="1" applyFill="1" applyBorder="1" applyAlignment="1">
      <alignment horizontal="center"/>
    </xf>
    <xf numFmtId="0" fontId="7" fillId="0" borderId="0" xfId="0" applyFont="1" applyAlignment="1">
      <alignment horizontal="center"/>
    </xf>
    <xf numFmtId="0" fontId="7" fillId="0" borderId="1" xfId="0" applyFont="1" applyBorder="1" applyAlignment="1">
      <alignment horizontal="center"/>
    </xf>
    <xf numFmtId="0" fontId="7" fillId="0" borderId="0" xfId="0" applyFont="1" applyFill="1" applyBorder="1" applyAlignment="1">
      <alignment horizontal="center"/>
    </xf>
    <xf numFmtId="0" fontId="7" fillId="0" borderId="0" xfId="0" applyFont="1" applyAlignment="1">
      <alignment horizontal="center"/>
    </xf>
    <xf numFmtId="165" fontId="5" fillId="0" borderId="0" xfId="0" applyNumberFormat="1" applyFont="1" applyFill="1" applyAlignment="1">
      <alignment horizontal="center"/>
    </xf>
    <xf numFmtId="166" fontId="7" fillId="0" borderId="0" xfId="0" applyNumberFormat="1" applyFont="1" applyAlignment="1">
      <alignment horizontal="center"/>
    </xf>
    <xf numFmtId="1" fontId="0" fillId="0" borderId="0" xfId="0" applyNumberFormat="1" applyFont="1" applyAlignment="1">
      <alignment horizontal="center"/>
    </xf>
    <xf numFmtId="0" fontId="28" fillId="0" borderId="0" xfId="0" applyFont="1" applyAlignment="1">
      <alignment horizontal="left"/>
    </xf>
    <xf numFmtId="2" fontId="28" fillId="0" borderId="0" xfId="0" applyNumberFormat="1" applyFont="1" applyAlignment="1">
      <alignment horizontal="left"/>
    </xf>
    <xf numFmtId="1" fontId="2" fillId="0" borderId="0" xfId="0" applyNumberFormat="1" applyFont="1" applyFill="1" applyAlignment="1">
      <alignment horizontal="center"/>
    </xf>
    <xf numFmtId="182" fontId="0" fillId="0" borderId="0" xfId="0" applyNumberFormat="1" applyFill="1" applyAlignment="1">
      <alignment horizontal="center"/>
    </xf>
    <xf numFmtId="166" fontId="2" fillId="0" borderId="0" xfId="0" applyNumberFormat="1" applyFont="1" applyFill="1" applyAlignment="1">
      <alignment horizontal="center"/>
    </xf>
    <xf numFmtId="2" fontId="2" fillId="0" borderId="0" xfId="0" applyNumberFormat="1" applyFont="1" applyFill="1" applyAlignment="1">
      <alignment horizontal="center"/>
    </xf>
    <xf numFmtId="39" fontId="0" fillId="0" borderId="0" xfId="0" applyNumberFormat="1" applyFill="1" applyAlignment="1">
      <alignment horizontal="center"/>
    </xf>
    <xf numFmtId="3" fontId="2" fillId="0" borderId="0" xfId="0" applyNumberFormat="1" applyFont="1" applyFill="1" applyAlignment="1">
      <alignment horizontal="center"/>
    </xf>
    <xf numFmtId="37" fontId="0" fillId="0" borderId="0" xfId="0" applyNumberFormat="1" applyFill="1" applyAlignment="1">
      <alignment horizontal="center"/>
    </xf>
    <xf numFmtId="0" fontId="7" fillId="0" borderId="0" xfId="0" applyFont="1" applyFill="1" applyAlignment="1"/>
    <xf numFmtId="165" fontId="7" fillId="0" borderId="0" xfId="0" applyNumberFormat="1" applyFont="1" applyFill="1" applyAlignment="1">
      <alignment horizontal="center"/>
    </xf>
    <xf numFmtId="0" fontId="25" fillId="0" borderId="0" xfId="0" applyFont="1" applyAlignment="1">
      <alignment horizontal="right"/>
    </xf>
    <xf numFmtId="169" fontId="0" fillId="0" borderId="0" xfId="1" applyNumberFormat="1" applyFont="1" applyFill="1" applyAlignment="1">
      <alignment horizontal="right"/>
    </xf>
    <xf numFmtId="0" fontId="7" fillId="0" borderId="0" xfId="0" applyFont="1" applyFill="1" applyBorder="1" applyAlignment="1">
      <alignment horizontal="center"/>
    </xf>
    <xf numFmtId="0" fontId="7" fillId="0" borderId="0" xfId="0" applyFont="1" applyAlignment="1">
      <alignment horizontal="center"/>
    </xf>
    <xf numFmtId="2" fontId="22" fillId="0" borderId="0" xfId="0" applyNumberFormat="1" applyFont="1" applyAlignment="1">
      <alignment horizontal="right"/>
    </xf>
    <xf numFmtId="0" fontId="24" fillId="0" borderId="0" xfId="0" applyFont="1" applyBorder="1"/>
    <xf numFmtId="0" fontId="24" fillId="0" borderId="0" xfId="0" applyFont="1" applyBorder="1" applyAlignment="1">
      <alignment horizontal="left"/>
    </xf>
    <xf numFmtId="0" fontId="24" fillId="0" borderId="0" xfId="0" applyFont="1" applyFill="1" applyBorder="1" applyAlignment="1">
      <alignment horizontal="left"/>
    </xf>
    <xf numFmtId="0" fontId="24" fillId="0" borderId="0" xfId="0" applyFont="1" applyAlignment="1">
      <alignment horizontal="center"/>
    </xf>
    <xf numFmtId="166" fontId="24" fillId="0" borderId="0" xfId="0" applyNumberFormat="1" applyFont="1" applyBorder="1" applyAlignment="1">
      <alignment horizontal="center"/>
    </xf>
    <xf numFmtId="0" fontId="24" fillId="0" borderId="0" xfId="0" applyFont="1" applyFill="1" applyBorder="1"/>
    <xf numFmtId="0" fontId="24" fillId="0" borderId="1" xfId="0" applyFont="1" applyBorder="1" applyAlignment="1">
      <alignment horizontal="center"/>
    </xf>
    <xf numFmtId="0" fontId="24" fillId="0" borderId="1" xfId="0" applyFont="1" applyBorder="1" applyAlignment="1">
      <alignment horizontal="left"/>
    </xf>
    <xf numFmtId="170" fontId="24" fillId="0" borderId="0" xfId="1" applyNumberFormat="1" applyFont="1" applyAlignment="1">
      <alignment horizontal="center"/>
    </xf>
    <xf numFmtId="170" fontId="24" fillId="0" borderId="1" xfId="1" applyNumberFormat="1" applyFont="1" applyBorder="1" applyAlignment="1">
      <alignment horizontal="center"/>
    </xf>
    <xf numFmtId="0" fontId="24" fillId="0" borderId="0" xfId="0" applyFont="1" applyBorder="1" applyAlignment="1">
      <alignment horizontal="center"/>
    </xf>
    <xf numFmtId="0" fontId="3" fillId="0" borderId="0" xfId="0" applyFont="1" applyBorder="1" applyAlignment="1"/>
    <xf numFmtId="165" fontId="5" fillId="10" borderId="0" xfId="1" applyNumberFormat="1" applyFont="1" applyFill="1" applyBorder="1" applyAlignment="1">
      <alignment horizontal="center"/>
    </xf>
    <xf numFmtId="164" fontId="5" fillId="10" borderId="0" xfId="0" applyNumberFormat="1" applyFont="1" applyFill="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7" fillId="0" borderId="0" xfId="0" applyFont="1" applyAlignment="1">
      <alignment horizontal="center"/>
    </xf>
    <xf numFmtId="170" fontId="5" fillId="10" borderId="0" xfId="1" applyNumberFormat="1" applyFont="1" applyFill="1" applyBorder="1"/>
    <xf numFmtId="170" fontId="5" fillId="10" borderId="0" xfId="1" applyNumberFormat="1" applyFont="1" applyFill="1" applyBorder="1" applyAlignment="1">
      <alignment horizontal="right"/>
    </xf>
    <xf numFmtId="170" fontId="0" fillId="10" borderId="0" xfId="1" applyNumberFormat="1" applyFont="1" applyFill="1"/>
    <xf numFmtId="167" fontId="2" fillId="10" borderId="0" xfId="0" applyNumberFormat="1" applyFont="1" applyFill="1" applyAlignment="1">
      <alignment horizontal="center"/>
    </xf>
    <xf numFmtId="0" fontId="0" fillId="0" borderId="0" xfId="0" applyFill="1" applyProtection="1">
      <protection locked="0"/>
    </xf>
    <xf numFmtId="0" fontId="0" fillId="0" borderId="0" xfId="0" applyProtection="1">
      <protection locked="0"/>
    </xf>
    <xf numFmtId="0" fontId="3" fillId="0" borderId="0" xfId="0" applyNumberFormat="1" applyFont="1" applyFill="1" applyAlignment="1"/>
    <xf numFmtId="170" fontId="2" fillId="10" borderId="0" xfId="0" applyNumberFormat="1" applyFont="1" applyFill="1"/>
    <xf numFmtId="0" fontId="30" fillId="0" borderId="0" xfId="0" applyFont="1" applyBorder="1" applyAlignment="1">
      <alignment horizontal="center"/>
    </xf>
    <xf numFmtId="0" fontId="30" fillId="0" borderId="0" xfId="0" applyFont="1" applyBorder="1" applyAlignment="1">
      <alignment horizontal="left"/>
    </xf>
    <xf numFmtId="0" fontId="24" fillId="0" borderId="1" xfId="0" applyFont="1" applyFill="1" applyBorder="1" applyAlignment="1">
      <alignment horizontal="center"/>
    </xf>
    <xf numFmtId="0" fontId="24" fillId="0" borderId="8" xfId="0" applyFont="1" applyBorder="1" applyAlignment="1">
      <alignment horizontal="center"/>
    </xf>
    <xf numFmtId="0" fontId="3" fillId="0" borderId="1" xfId="0" applyFont="1" applyBorder="1" applyAlignment="1">
      <alignment horizontal="center"/>
    </xf>
    <xf numFmtId="0" fontId="24" fillId="0" borderId="0" xfId="0" applyFont="1" applyAlignment="1">
      <alignment horizontal="left"/>
    </xf>
    <xf numFmtId="40" fontId="3" fillId="0" borderId="0" xfId="0" applyNumberFormat="1" applyFont="1" applyAlignment="1"/>
    <xf numFmtId="0" fontId="24" fillId="0" borderId="0" xfId="1" applyNumberFormat="1" applyFont="1" applyBorder="1" applyAlignment="1">
      <alignment horizontal="left"/>
    </xf>
    <xf numFmtId="165" fontId="2" fillId="0" borderId="0" xfId="0" applyNumberFormat="1" applyFont="1" applyBorder="1" applyAlignment="1">
      <alignment horizontal="center"/>
    </xf>
    <xf numFmtId="1" fontId="0" fillId="0" borderId="0" xfId="0" applyNumberFormat="1" applyBorder="1"/>
    <xf numFmtId="0" fontId="7" fillId="0" borderId="1" xfId="0" applyFont="1" applyBorder="1" applyAlignment="1">
      <alignment horizontal="center"/>
    </xf>
    <xf numFmtId="0" fontId="7" fillId="0" borderId="0" xfId="0" applyFont="1" applyFill="1" applyBorder="1" applyAlignment="1">
      <alignment horizontal="center"/>
    </xf>
    <xf numFmtId="0" fontId="7" fillId="0" borderId="0" xfId="0" applyFont="1" applyAlignment="1">
      <alignment horizontal="center"/>
    </xf>
    <xf numFmtId="0" fontId="32" fillId="0" borderId="0" xfId="0" applyFont="1"/>
    <xf numFmtId="0" fontId="33" fillId="0" borderId="0" xfId="0" applyFont="1"/>
    <xf numFmtId="0" fontId="0" fillId="0" borderId="0" xfId="0" applyFont="1"/>
    <xf numFmtId="0" fontId="0" fillId="0" borderId="0" xfId="0" applyAlignment="1">
      <alignment horizontal="right"/>
    </xf>
    <xf numFmtId="0" fontId="31" fillId="0" borderId="0" xfId="0" applyFont="1"/>
    <xf numFmtId="0" fontId="34" fillId="0" borderId="0" xfId="0" applyFont="1"/>
    <xf numFmtId="0" fontId="31" fillId="0" borderId="0" xfId="0" applyFont="1" applyFill="1" applyBorder="1"/>
    <xf numFmtId="0" fontId="31" fillId="0" borderId="0" xfId="0" applyFont="1" applyAlignment="1">
      <alignment horizontal="center"/>
    </xf>
    <xf numFmtId="11" fontId="0" fillId="0" borderId="0" xfId="0" applyNumberFormat="1" applyAlignment="1">
      <alignment horizontal="center"/>
    </xf>
    <xf numFmtId="177" fontId="0" fillId="0" borderId="0" xfId="0" applyNumberFormat="1" applyAlignment="1">
      <alignment horizontal="center"/>
    </xf>
    <xf numFmtId="11" fontId="0" fillId="0" borderId="0" xfId="0" applyNumberFormat="1"/>
    <xf numFmtId="0" fontId="0" fillId="11" borderId="0" xfId="0" applyFill="1"/>
    <xf numFmtId="2" fontId="0" fillId="11" borderId="0" xfId="0" applyNumberFormat="1" applyFill="1" applyAlignment="1">
      <alignment horizontal="center"/>
    </xf>
    <xf numFmtId="165" fontId="0" fillId="11" borderId="0" xfId="0" applyNumberFormat="1" applyFill="1" applyAlignment="1">
      <alignment horizontal="center"/>
    </xf>
    <xf numFmtId="0" fontId="0" fillId="0" borderId="0" xfId="0" applyNumberFormat="1" applyAlignment="1">
      <alignment horizontal="center"/>
    </xf>
    <xf numFmtId="0" fontId="0" fillId="0" borderId="0" xfId="0" applyFont="1" applyBorder="1" applyAlignment="1">
      <alignment horizontal="left"/>
    </xf>
    <xf numFmtId="1" fontId="0" fillId="0" borderId="0" xfId="0" applyNumberFormat="1" applyBorder="1" applyAlignment="1">
      <alignment horizontal="center"/>
    </xf>
    <xf numFmtId="1" fontId="31" fillId="0" borderId="0" xfId="0" applyNumberFormat="1" applyFont="1" applyBorder="1" applyAlignment="1">
      <alignment horizontal="center"/>
    </xf>
    <xf numFmtId="1" fontId="31" fillId="0" borderId="0" xfId="0" applyNumberFormat="1" applyFont="1" applyAlignment="1">
      <alignment horizontal="center"/>
    </xf>
    <xf numFmtId="12" fontId="37" fillId="0" borderId="0" xfId="0" applyNumberFormat="1" applyFont="1" applyBorder="1" applyAlignment="1">
      <alignment horizontal="center"/>
    </xf>
    <xf numFmtId="0" fontId="31" fillId="0" borderId="9" xfId="0" applyFont="1" applyBorder="1"/>
    <xf numFmtId="0" fontId="31" fillId="0" borderId="9" xfId="0" applyFont="1" applyBorder="1" applyAlignment="1">
      <alignment horizontal="center"/>
    </xf>
    <xf numFmtId="0" fontId="35" fillId="0" borderId="0" xfId="0" applyFont="1"/>
    <xf numFmtId="0" fontId="31" fillId="0" borderId="0" xfId="0" applyFont="1" applyBorder="1"/>
    <xf numFmtId="0" fontId="31" fillId="0" borderId="0" xfId="0" applyFont="1" applyBorder="1" applyAlignment="1">
      <alignment horizontal="center"/>
    </xf>
    <xf numFmtId="0" fontId="35" fillId="0" borderId="0" xfId="0" applyFont="1" applyAlignment="1">
      <alignment horizontal="center"/>
    </xf>
    <xf numFmtId="166" fontId="0" fillId="12" borderId="0" xfId="0" applyNumberFormat="1" applyFill="1" applyAlignment="1">
      <alignment horizontal="center"/>
    </xf>
    <xf numFmtId="166" fontId="31" fillId="0" borderId="0" xfId="0" applyNumberFormat="1" applyFont="1" applyAlignment="1">
      <alignment horizontal="center"/>
    </xf>
    <xf numFmtId="0" fontId="35" fillId="12" borderId="0" xfId="0" applyFont="1" applyFill="1"/>
    <xf numFmtId="0" fontId="0" fillId="12" borderId="0" xfId="0" applyFill="1"/>
    <xf numFmtId="2" fontId="0" fillId="12" borderId="0" xfId="0" applyNumberFormat="1" applyFill="1" applyAlignment="1">
      <alignment horizontal="center"/>
    </xf>
    <xf numFmtId="165" fontId="0" fillId="0" borderId="0" xfId="0" applyNumberFormat="1" applyBorder="1" applyAlignment="1">
      <alignment horizontal="center"/>
    </xf>
    <xf numFmtId="0" fontId="24" fillId="0" borderId="3" xfId="0" applyFont="1" applyBorder="1" applyAlignment="1"/>
    <xf numFmtId="2" fontId="0" fillId="13" borderId="0" xfId="0" applyNumberFormat="1" applyFill="1" applyAlignment="1">
      <alignment horizontal="center"/>
    </xf>
    <xf numFmtId="0" fontId="3" fillId="12" borderId="0" xfId="0" applyFont="1" applyFill="1" applyAlignment="1">
      <alignment horizontal="left"/>
    </xf>
    <xf numFmtId="0" fontId="7" fillId="12" borderId="0" xfId="0" applyFont="1" applyFill="1" applyBorder="1"/>
    <xf numFmtId="0" fontId="11" fillId="12" borderId="0" xfId="0" applyFont="1" applyFill="1" applyBorder="1" applyAlignment="1">
      <alignment horizontal="right"/>
    </xf>
    <xf numFmtId="2" fontId="5" fillId="12" borderId="0" xfId="0" applyNumberFormat="1" applyFont="1" applyFill="1" applyBorder="1" applyAlignment="1">
      <alignment horizontal="left"/>
    </xf>
    <xf numFmtId="0" fontId="5" fillId="12" borderId="0" xfId="0" applyFont="1" applyFill="1" applyAlignment="1">
      <alignment horizontal="left"/>
    </xf>
    <xf numFmtId="0" fontId="11" fillId="12" borderId="0" xfId="0" applyFont="1" applyFill="1" applyAlignment="1">
      <alignment horizontal="left"/>
    </xf>
    <xf numFmtId="0" fontId="7" fillId="12" borderId="0" xfId="0" applyFont="1" applyFill="1" applyBorder="1" applyAlignment="1">
      <alignment horizontal="left"/>
    </xf>
    <xf numFmtId="0" fontId="2" fillId="12" borderId="0" xfId="0" applyFont="1" applyFill="1" applyBorder="1" applyAlignment="1">
      <alignment horizontal="left"/>
    </xf>
    <xf numFmtId="0" fontId="14" fillId="12" borderId="0" xfId="0" applyFont="1" applyFill="1" applyBorder="1" applyAlignment="1">
      <alignment horizontal="center"/>
    </xf>
    <xf numFmtId="2" fontId="2" fillId="12" borderId="0" xfId="0" applyNumberFormat="1" applyFont="1" applyFill="1" applyBorder="1" applyAlignment="1">
      <alignment horizontal="left"/>
    </xf>
    <xf numFmtId="166" fontId="2" fillId="12" borderId="0" xfId="0" applyNumberFormat="1" applyFont="1" applyFill="1"/>
    <xf numFmtId="0" fontId="24" fillId="12" borderId="3" xfId="0" applyFont="1" applyFill="1" applyBorder="1" applyAlignment="1"/>
    <xf numFmtId="0" fontId="24" fillId="12" borderId="8" xfId="0" applyFont="1" applyFill="1" applyBorder="1" applyAlignment="1">
      <alignment horizontal="center"/>
    </xf>
    <xf numFmtId="0" fontId="0" fillId="12" borderId="0" xfId="0" applyFill="1" applyAlignment="1">
      <alignment horizontal="center"/>
    </xf>
    <xf numFmtId="0" fontId="2" fillId="12" borderId="0" xfId="0" applyFont="1" applyFill="1" applyAlignment="1">
      <alignment horizontal="center"/>
    </xf>
    <xf numFmtId="2" fontId="5" fillId="0" borderId="0" xfId="0" applyNumberFormat="1" applyFont="1" applyFill="1" applyAlignment="1">
      <alignment horizontal="center"/>
    </xf>
    <xf numFmtId="2" fontId="0" fillId="0" borderId="0" xfId="1" applyNumberFormat="1" applyFont="1" applyFill="1" applyAlignment="1">
      <alignment horizontal="center"/>
    </xf>
    <xf numFmtId="0" fontId="2" fillId="0" borderId="0" xfId="0" applyFont="1" applyBorder="1" applyAlignment="1">
      <alignment horizontal="right"/>
    </xf>
    <xf numFmtId="1" fontId="0" fillId="3" borderId="0" xfId="0" applyNumberFormat="1" applyFill="1" applyAlignment="1">
      <alignment horizontal="center"/>
    </xf>
    <xf numFmtId="2" fontId="22" fillId="13" borderId="0" xfId="0" applyNumberFormat="1" applyFont="1" applyFill="1" applyAlignment="1">
      <alignment horizontal="center"/>
    </xf>
    <xf numFmtId="2" fontId="5" fillId="3" borderId="0" xfId="0" applyNumberFormat="1" applyFont="1" applyFill="1" applyAlignment="1">
      <alignment horizontal="center"/>
    </xf>
    <xf numFmtId="0" fontId="0" fillId="14" borderId="0" xfId="0" applyFill="1" applyAlignment="1">
      <alignment horizontal="center"/>
    </xf>
    <xf numFmtId="167" fontId="0" fillId="14" borderId="0" xfId="0" applyNumberFormat="1" applyFill="1" applyAlignment="1">
      <alignment horizontal="center"/>
    </xf>
    <xf numFmtId="1" fontId="0" fillId="14" borderId="0" xfId="0" applyNumberFormat="1" applyFill="1" applyAlignment="1">
      <alignment horizontal="center"/>
    </xf>
    <xf numFmtId="2" fontId="0" fillId="14" borderId="0" xfId="0" applyNumberFormat="1" applyFill="1" applyAlignment="1">
      <alignment horizontal="center"/>
    </xf>
    <xf numFmtId="2" fontId="0" fillId="3" borderId="0" xfId="0" applyNumberFormat="1" applyFill="1" applyAlignment="1">
      <alignment horizontal="center"/>
    </xf>
    <xf numFmtId="166" fontId="0" fillId="14" borderId="0" xfId="0" applyNumberFormat="1" applyFill="1" applyAlignment="1">
      <alignment horizontal="center"/>
    </xf>
    <xf numFmtId="177" fontId="2" fillId="0" borderId="0" xfId="0" applyNumberFormat="1" applyFont="1" applyAlignment="1">
      <alignment horizontal="center"/>
    </xf>
    <xf numFmtId="0" fontId="0" fillId="0" borderId="0" xfId="0" applyFont="1" applyFill="1" applyBorder="1"/>
    <xf numFmtId="0" fontId="7" fillId="15" borderId="0" xfId="0" applyFont="1" applyFill="1" applyAlignment="1">
      <alignment horizontal="center"/>
    </xf>
    <xf numFmtId="0" fontId="25" fillId="0" borderId="0" xfId="0" applyFont="1" applyFill="1"/>
    <xf numFmtId="183" fontId="0" fillId="0" borderId="0" xfId="0" applyNumberFormat="1"/>
    <xf numFmtId="166" fontId="0" fillId="9" borderId="0" xfId="0" applyNumberFormat="1" applyFill="1" applyAlignment="1">
      <alignment horizontal="center"/>
    </xf>
    <xf numFmtId="165" fontId="0" fillId="0" borderId="0" xfId="1" applyNumberFormat="1" applyFont="1" applyAlignment="1">
      <alignment horizontal="center"/>
    </xf>
    <xf numFmtId="43" fontId="2" fillId="0" borderId="0" xfId="1" applyFont="1" applyFill="1" applyAlignment="1">
      <alignment horizontal="center"/>
    </xf>
    <xf numFmtId="2" fontId="28" fillId="0" borderId="0" xfId="0" applyNumberFormat="1" applyFont="1" applyAlignment="1"/>
    <xf numFmtId="2" fontId="2" fillId="0" borderId="0" xfId="0" applyNumberFormat="1" applyFont="1" applyFill="1" applyAlignment="1">
      <alignment horizontal="left"/>
    </xf>
    <xf numFmtId="166" fontId="2" fillId="0" borderId="0" xfId="0" applyNumberFormat="1" applyFont="1" applyFill="1" applyBorder="1" applyAlignment="1">
      <alignment horizontal="center"/>
    </xf>
    <xf numFmtId="167" fontId="31" fillId="0" borderId="0" xfId="0" applyNumberFormat="1" applyFont="1" applyAlignment="1">
      <alignment horizontal="center"/>
    </xf>
    <xf numFmtId="165" fontId="25" fillId="0" borderId="0" xfId="0" applyNumberFormat="1" applyFont="1" applyAlignment="1">
      <alignment horizontal="center"/>
    </xf>
    <xf numFmtId="167" fontId="25" fillId="0" borderId="0" xfId="0" applyNumberFormat="1" applyFont="1" applyAlignment="1">
      <alignment horizontal="center"/>
    </xf>
    <xf numFmtId="2" fontId="0" fillId="0" borderId="0" xfId="0" applyNumberFormat="1" applyBorder="1"/>
    <xf numFmtId="43" fontId="0" fillId="0" borderId="0" xfId="0" applyNumberFormat="1" applyBorder="1"/>
    <xf numFmtId="0" fontId="2" fillId="0" borderId="0" xfId="0" applyFont="1" applyFill="1" applyBorder="1" applyAlignment="1">
      <alignment horizontal="right"/>
    </xf>
    <xf numFmtId="43" fontId="0" fillId="0" borderId="0" xfId="0" applyNumberFormat="1" applyAlignment="1">
      <alignment horizontal="left"/>
    </xf>
    <xf numFmtId="0" fontId="7" fillId="0" borderId="0" xfId="0" applyFont="1" applyFill="1" applyBorder="1" applyAlignment="1">
      <alignment horizontal="right"/>
    </xf>
    <xf numFmtId="43" fontId="0" fillId="0" borderId="0" xfId="0" applyNumberFormat="1" applyAlignment="1">
      <alignment horizontal="right"/>
    </xf>
    <xf numFmtId="184" fontId="7" fillId="0" borderId="0" xfId="0" applyNumberFormat="1" applyFont="1" applyAlignment="1">
      <alignment horizontal="center"/>
    </xf>
    <xf numFmtId="0" fontId="0" fillId="0" borderId="0" xfId="0" applyFont="1" applyAlignment="1">
      <alignment horizontal="right"/>
    </xf>
    <xf numFmtId="165" fontId="2" fillId="0" borderId="0" xfId="0" applyNumberFormat="1" applyFont="1"/>
    <xf numFmtId="4" fontId="0" fillId="8" borderId="0" xfId="0" applyNumberFormat="1" applyFill="1" applyAlignment="1">
      <alignment horizontal="center"/>
    </xf>
    <xf numFmtId="173" fontId="0" fillId="0" borderId="0" xfId="0" applyNumberFormat="1"/>
    <xf numFmtId="1" fontId="0" fillId="9" borderId="0" xfId="0" applyNumberFormat="1" applyFill="1" applyAlignment="1">
      <alignment horizontal="center"/>
    </xf>
    <xf numFmtId="0" fontId="7" fillId="0" borderId="0" xfId="0" applyFont="1" applyBorder="1" applyAlignment="1">
      <alignment horizontal="right"/>
    </xf>
    <xf numFmtId="43" fontId="0" fillId="9" borderId="0" xfId="0" applyNumberFormat="1" applyFill="1"/>
    <xf numFmtId="0" fontId="26" fillId="0" borderId="0" xfId="0" applyFont="1" applyAlignment="1">
      <alignment horizontal="left"/>
    </xf>
    <xf numFmtId="0" fontId="8" fillId="0" borderId="0" xfId="0" applyFont="1"/>
    <xf numFmtId="0" fontId="1" fillId="0" borderId="0" xfId="0" applyFont="1"/>
    <xf numFmtId="0" fontId="45" fillId="0" borderId="0" xfId="0" applyFont="1" applyAlignment="1">
      <alignment horizontal="left"/>
    </xf>
    <xf numFmtId="0" fontId="26" fillId="0" borderId="0" xfId="0" applyFont="1" applyBorder="1" applyAlignment="1">
      <alignment horizontal="left"/>
    </xf>
    <xf numFmtId="0" fontId="47" fillId="0" borderId="0" xfId="0" applyFont="1" applyFill="1" applyBorder="1" applyAlignment="1">
      <alignment horizontal="left"/>
    </xf>
    <xf numFmtId="0" fontId="48" fillId="0" borderId="0" xfId="0" applyFont="1"/>
    <xf numFmtId="166" fontId="25" fillId="0" borderId="0" xfId="0" applyNumberFormat="1" applyFont="1" applyAlignment="1">
      <alignment horizontal="center"/>
    </xf>
    <xf numFmtId="166" fontId="0" fillId="0" borderId="0" xfId="0" applyNumberFormat="1" applyAlignment="1">
      <alignment horizontal="center"/>
    </xf>
    <xf numFmtId="166" fontId="37" fillId="0" borderId="0" xfId="0" applyNumberFormat="1" applyFont="1" applyBorder="1" applyAlignment="1">
      <alignment horizontal="center"/>
    </xf>
    <xf numFmtId="1" fontId="0" fillId="0" borderId="0" xfId="0" applyNumberFormat="1" applyAlignment="1">
      <alignment horizontal="center"/>
    </xf>
    <xf numFmtId="165" fontId="0" fillId="0" borderId="0" xfId="0" applyNumberFormat="1" applyAlignment="1">
      <alignment horizontal="center"/>
    </xf>
    <xf numFmtId="2" fontId="0" fillId="0" borderId="0" xfId="0" applyNumberFormat="1" applyAlignment="1">
      <alignment horizontal="center"/>
    </xf>
    <xf numFmtId="1" fontId="0" fillId="0" borderId="0" xfId="0" applyNumberFormat="1" applyAlignment="1">
      <alignment horizontal="center"/>
    </xf>
    <xf numFmtId="165" fontId="0" fillId="0" borderId="0" xfId="0" applyNumberFormat="1" applyAlignment="1">
      <alignment horizontal="center"/>
    </xf>
    <xf numFmtId="1" fontId="31" fillId="0" borderId="0" xfId="0" applyNumberFormat="1" applyFont="1" applyBorder="1" applyAlignment="1">
      <alignment horizontal="center"/>
    </xf>
    <xf numFmtId="1" fontId="31" fillId="0" borderId="0" xfId="0" applyNumberFormat="1" applyFont="1" applyAlignment="1">
      <alignment horizontal="center"/>
    </xf>
    <xf numFmtId="2" fontId="1" fillId="0" borderId="0" xfId="0" applyNumberFormat="1" applyFont="1"/>
    <xf numFmtId="166" fontId="0" fillId="0" borderId="0" xfId="0" applyNumberFormat="1" applyAlignment="1">
      <alignment horizontal="center"/>
    </xf>
    <xf numFmtId="1" fontId="0" fillId="0" borderId="0" xfId="0" applyNumberFormat="1" applyAlignment="1">
      <alignment horizontal="center"/>
    </xf>
    <xf numFmtId="166" fontId="0" fillId="0" borderId="0" xfId="0" applyNumberFormat="1" applyAlignment="1">
      <alignment horizontal="center"/>
    </xf>
    <xf numFmtId="165" fontId="0" fillId="0" borderId="0" xfId="0" applyNumberFormat="1" applyAlignment="1">
      <alignment horizontal="center"/>
    </xf>
    <xf numFmtId="167" fontId="0" fillId="0" borderId="0" xfId="0" applyNumberFormat="1" applyAlignment="1">
      <alignment horizontal="center"/>
    </xf>
    <xf numFmtId="177" fontId="0" fillId="0" borderId="0" xfId="0" applyNumberFormat="1" applyAlignment="1">
      <alignment horizontal="center"/>
    </xf>
    <xf numFmtId="166" fontId="0" fillId="0" borderId="0" xfId="0" applyNumberFormat="1" applyAlignment="1">
      <alignment horizontal="center"/>
    </xf>
    <xf numFmtId="1" fontId="1" fillId="0" borderId="0" xfId="0" applyNumberFormat="1" applyFont="1"/>
    <xf numFmtId="1" fontId="1" fillId="0" borderId="0" xfId="0" applyNumberFormat="1" applyFont="1"/>
    <xf numFmtId="166" fontId="1" fillId="0" borderId="0" xfId="0" applyNumberFormat="1" applyFont="1"/>
    <xf numFmtId="166" fontId="1" fillId="0" borderId="0" xfId="0" applyNumberFormat="1" applyFont="1"/>
    <xf numFmtId="2" fontId="1" fillId="0" borderId="0" xfId="0" applyNumberFormat="1" applyFont="1"/>
    <xf numFmtId="0" fontId="7" fillId="0" borderId="0" xfId="0" applyFont="1" applyAlignment="1">
      <alignment horizontal="center"/>
    </xf>
    <xf numFmtId="0" fontId="49" fillId="0" borderId="0" xfId="0" applyFont="1"/>
    <xf numFmtId="0" fontId="1" fillId="9" borderId="0" xfId="0" applyNumberFormat="1" applyFont="1" applyFill="1"/>
    <xf numFmtId="167" fontId="0" fillId="9" borderId="0" xfId="0" applyNumberFormat="1" applyFill="1" applyAlignment="1">
      <alignment horizontal="center"/>
    </xf>
    <xf numFmtId="177" fontId="0" fillId="0" borderId="0" xfId="0" applyNumberFormat="1" applyFont="1" applyAlignment="1">
      <alignment horizontal="center"/>
    </xf>
    <xf numFmtId="0" fontId="50" fillId="0" borderId="0" xfId="0" applyFont="1"/>
    <xf numFmtId="2" fontId="7" fillId="0" borderId="0" xfId="0" applyNumberFormat="1" applyFont="1"/>
    <xf numFmtId="0" fontId="51" fillId="0" borderId="0" xfId="0" applyFont="1" applyAlignment="1">
      <alignment horizontal="left"/>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3" fillId="0" borderId="0" xfId="0" applyFont="1" applyBorder="1" applyAlignment="1">
      <alignment horizontal="right"/>
    </xf>
    <xf numFmtId="0" fontId="0" fillId="0" borderId="0" xfId="0" applyBorder="1" applyAlignment="1">
      <alignment horizontal="right"/>
    </xf>
    <xf numFmtId="0" fontId="52" fillId="0" borderId="0" xfId="0" applyFont="1"/>
    <xf numFmtId="0" fontId="0" fillId="0" borderId="0" xfId="1" applyNumberFormat="1" applyFont="1" applyBorder="1" applyAlignment="1">
      <alignment horizontal="center"/>
    </xf>
    <xf numFmtId="43" fontId="0" fillId="0" borderId="0" xfId="1" applyNumberFormat="1" applyFont="1" applyBorder="1" applyAlignment="1">
      <alignment horizontal="center"/>
    </xf>
    <xf numFmtId="170" fontId="0" fillId="0" borderId="0" xfId="1" applyNumberFormat="1" applyFont="1" applyBorder="1"/>
    <xf numFmtId="43" fontId="0" fillId="0" borderId="0" xfId="1" applyFont="1" applyBorder="1"/>
    <xf numFmtId="43" fontId="0" fillId="0" borderId="0" xfId="0" applyNumberFormat="1" applyFill="1"/>
    <xf numFmtId="0" fontId="0" fillId="0" borderId="0" xfId="0" applyNumberFormat="1" applyAlignment="1">
      <alignment horizontal="right"/>
    </xf>
    <xf numFmtId="170" fontId="0" fillId="0" borderId="0" xfId="0" applyNumberFormat="1" applyAlignment="1">
      <alignment horizontal="right"/>
    </xf>
    <xf numFmtId="49" fontId="2" fillId="0" borderId="0" xfId="0" applyNumberFormat="1" applyFont="1" applyAlignment="1">
      <alignment horizontal="left" vertical="top" wrapText="1"/>
    </xf>
    <xf numFmtId="49" fontId="0" fillId="0" borderId="0" xfId="0" applyNumberFormat="1" applyAlignment="1">
      <alignment horizontal="left" vertical="top" wrapText="1"/>
    </xf>
    <xf numFmtId="0" fontId="2" fillId="0" borderId="0" xfId="0" applyFont="1" applyAlignment="1">
      <alignment horizontal="left" vertical="top" wrapText="1"/>
    </xf>
    <xf numFmtId="0" fontId="0" fillId="0" borderId="0" xfId="0" applyAlignment="1">
      <alignment horizontal="left" vertical="top"/>
    </xf>
    <xf numFmtId="0" fontId="3" fillId="0" borderId="3" xfId="0" applyFont="1" applyBorder="1" applyAlignment="1">
      <alignment horizontal="center"/>
    </xf>
    <xf numFmtId="0" fontId="0" fillId="0" borderId="0" xfId="0" applyFont="1" applyFill="1" applyBorder="1" applyAlignment="1">
      <alignment horizontal="center"/>
    </xf>
    <xf numFmtId="0" fontId="13" fillId="0" borderId="0" xfId="0" applyFont="1" applyAlignment="1">
      <alignment horizontal="center"/>
    </xf>
    <xf numFmtId="0" fontId="3" fillId="0" borderId="0" xfId="0" applyFont="1" applyAlignment="1">
      <alignment horizontal="center"/>
    </xf>
    <xf numFmtId="2" fontId="3" fillId="3" borderId="0" xfId="0" applyNumberFormat="1" applyFont="1" applyFill="1" applyBorder="1" applyAlignment="1">
      <alignment horizontal="center"/>
    </xf>
    <xf numFmtId="2" fontId="3" fillId="0" borderId="0" xfId="0" applyNumberFormat="1" applyFont="1" applyAlignment="1">
      <alignment horizontal="center"/>
    </xf>
    <xf numFmtId="0" fontId="7" fillId="0" borderId="1" xfId="0" applyFont="1" applyBorder="1" applyAlignment="1">
      <alignment horizontal="center"/>
    </xf>
    <xf numFmtId="0" fontId="7" fillId="0" borderId="0" xfId="0" applyFont="1" applyFill="1" applyBorder="1" applyAlignment="1">
      <alignment horizontal="center"/>
    </xf>
    <xf numFmtId="170" fontId="7" fillId="0" borderId="0" xfId="0" applyNumberFormat="1" applyFont="1" applyAlignment="1">
      <alignment horizontal="center"/>
    </xf>
  </cellXfs>
  <cellStyles count="4">
    <cellStyle name="Comma" xfId="1" builtinId="3"/>
    <cellStyle name="Normal" xfId="0" builtinId="0"/>
    <cellStyle name="Normal 2" xfId="3"/>
    <cellStyle name="Percent" xfId="2" builtinId="5"/>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6FFFF"/>
      <color rgb="FFCCFF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53018372703401"/>
          <c:y val="4.2477352511535699E-2"/>
          <c:w val="0.78228237095363096"/>
          <c:h val="0.81612646537913502"/>
        </c:manualLayout>
      </c:layout>
      <c:scatterChart>
        <c:scatterStyle val="lineMarker"/>
        <c:varyColors val="0"/>
        <c:ser>
          <c:idx val="1"/>
          <c:order val="0"/>
          <c:tx>
            <c:strRef>
              <c:f>'Iterative I-V'!$C$22</c:f>
              <c:strCache>
                <c:ptCount val="1"/>
              </c:strCache>
            </c:strRef>
          </c:tx>
          <c:spPr>
            <a:ln>
              <a:solidFill>
                <a:schemeClr val="accent1"/>
              </a:solidFill>
            </a:ln>
          </c:spPr>
          <c:marker>
            <c:spPr>
              <a:solidFill>
                <a:schemeClr val="accent1"/>
              </a:solidFill>
              <a:ln>
                <a:solidFill>
                  <a:schemeClr val="accent1"/>
                </a:solidFill>
              </a:ln>
            </c:spPr>
          </c:marker>
          <c:xVal>
            <c:numRef>
              <c:f>'Iterative I-V'!$B$87:$B$94</c:f>
              <c:numCache>
                <c:formatCode>General</c:formatCode>
                <c:ptCount val="8"/>
                <c:pt idx="1">
                  <c:v>1</c:v>
                </c:pt>
                <c:pt idx="2">
                  <c:v>1</c:v>
                </c:pt>
                <c:pt idx="3">
                  <c:v>2</c:v>
                </c:pt>
                <c:pt idx="4">
                  <c:v>2</c:v>
                </c:pt>
                <c:pt idx="5">
                  <c:v>2</c:v>
                </c:pt>
                <c:pt idx="6">
                  <c:v>3</c:v>
                </c:pt>
                <c:pt idx="7">
                  <c:v>3</c:v>
                </c:pt>
              </c:numCache>
            </c:numRef>
          </c:xVal>
          <c:yVal>
            <c:numRef>
              <c:f>'Iterative I-V'!$C$87:$C$94</c:f>
              <c:numCache>
                <c:formatCode>0.000</c:formatCode>
                <c:ptCount val="8"/>
                <c:pt idx="1">
                  <c:v>0</c:v>
                </c:pt>
                <c:pt idx="2">
                  <c:v>0.17785109573564148</c:v>
                </c:pt>
                <c:pt idx="3">
                  <c:v>0.23805842937762672</c:v>
                </c:pt>
                <c:pt idx="4">
                  <c:v>0.41590952511326817</c:v>
                </c:pt>
                <c:pt idx="5">
                  <c:v>0.58513110555882486</c:v>
                </c:pt>
                <c:pt idx="6">
                  <c:v>0.58513110555882486</c:v>
                </c:pt>
                <c:pt idx="7">
                  <c:v>0.59200000000288733</c:v>
                </c:pt>
              </c:numCache>
            </c:numRef>
          </c:yVal>
          <c:smooth val="0"/>
        </c:ser>
        <c:ser>
          <c:idx val="0"/>
          <c:order val="1"/>
          <c:tx>
            <c:strRef>
              <c:f>'Iterative I-V'!$D$22</c:f>
              <c:strCache>
                <c:ptCount val="1"/>
              </c:strCache>
            </c:strRef>
          </c:tx>
          <c:spPr>
            <a:ln>
              <a:solidFill>
                <a:schemeClr val="accent2"/>
              </a:solidFill>
            </a:ln>
          </c:spPr>
          <c:marker>
            <c:spPr>
              <a:solidFill>
                <a:schemeClr val="accent2"/>
              </a:solidFill>
              <a:ln>
                <a:solidFill>
                  <a:schemeClr val="accent2"/>
                </a:solidFill>
              </a:ln>
            </c:spPr>
          </c:marker>
          <c:xVal>
            <c:numRef>
              <c:f>'Iterative I-V'!$B$87:$B$94</c:f>
              <c:numCache>
                <c:formatCode>General</c:formatCode>
                <c:ptCount val="8"/>
                <c:pt idx="1">
                  <c:v>1</c:v>
                </c:pt>
                <c:pt idx="2">
                  <c:v>1</c:v>
                </c:pt>
                <c:pt idx="3">
                  <c:v>2</c:v>
                </c:pt>
                <c:pt idx="4">
                  <c:v>2</c:v>
                </c:pt>
                <c:pt idx="5">
                  <c:v>2</c:v>
                </c:pt>
                <c:pt idx="6">
                  <c:v>3</c:v>
                </c:pt>
                <c:pt idx="7">
                  <c:v>3</c:v>
                </c:pt>
              </c:numCache>
            </c:numRef>
          </c:xVal>
          <c:yVal>
            <c:numRef>
              <c:f>'Iterative I-V'!$L$87:$L$94</c:f>
              <c:numCache>
                <c:formatCode>0.000</c:formatCode>
                <c:ptCount val="8"/>
                <c:pt idx="1">
                  <c:v>0</c:v>
                </c:pt>
                <c:pt idx="2">
                  <c:v>0.11150798580943708</c:v>
                </c:pt>
                <c:pt idx="3">
                  <c:v>0.11549406761908426</c:v>
                </c:pt>
                <c:pt idx="4">
                  <c:v>0.22700205342852134</c:v>
                </c:pt>
                <c:pt idx="5">
                  <c:v>0.27148411696390679</c:v>
                </c:pt>
                <c:pt idx="6">
                  <c:v>0.27148411696390679</c:v>
                </c:pt>
                <c:pt idx="7">
                  <c:v>0.30966663781385401</c:v>
                </c:pt>
              </c:numCache>
            </c:numRef>
          </c:yVal>
          <c:smooth val="0"/>
        </c:ser>
        <c:ser>
          <c:idx val="2"/>
          <c:order val="2"/>
          <c:tx>
            <c:strRef>
              <c:f>'Iterative I-V'!$E$22</c:f>
              <c:strCache>
                <c:ptCount val="1"/>
              </c:strCache>
            </c:strRef>
          </c:tx>
          <c:xVal>
            <c:numRef>
              <c:f>'Iterative I-V'!$B$87:$B$94</c:f>
              <c:numCache>
                <c:formatCode>General</c:formatCode>
                <c:ptCount val="8"/>
                <c:pt idx="1">
                  <c:v>1</c:v>
                </c:pt>
                <c:pt idx="2">
                  <c:v>1</c:v>
                </c:pt>
                <c:pt idx="3">
                  <c:v>2</c:v>
                </c:pt>
                <c:pt idx="4">
                  <c:v>2</c:v>
                </c:pt>
                <c:pt idx="5">
                  <c:v>2</c:v>
                </c:pt>
                <c:pt idx="6">
                  <c:v>3</c:v>
                </c:pt>
                <c:pt idx="7">
                  <c:v>3</c:v>
                </c:pt>
              </c:numCache>
            </c:numRef>
          </c:xVal>
          <c:yVal>
            <c:numRef>
              <c:f>'Iterative I-V'!$G$87:$G$94</c:f>
              <c:numCache>
                <c:formatCode>0.000</c:formatCode>
                <c:ptCount val="8"/>
                <c:pt idx="1">
                  <c:v>0</c:v>
                </c:pt>
                <c:pt idx="2">
                  <c:v>0.19876562129455314</c:v>
                </c:pt>
                <c:pt idx="3">
                  <c:v>0.24635664202300478</c:v>
                </c:pt>
                <c:pt idx="4">
                  <c:v>0.44512226331755789</c:v>
                </c:pt>
                <c:pt idx="5">
                  <c:v>0.55880073362486604</c:v>
                </c:pt>
                <c:pt idx="6">
                  <c:v>0.55880073362486604</c:v>
                </c:pt>
                <c:pt idx="7">
                  <c:v>0.59200000007087883</c:v>
                </c:pt>
              </c:numCache>
            </c:numRef>
          </c:yVal>
          <c:smooth val="0"/>
        </c:ser>
        <c:dLbls>
          <c:showLegendKey val="0"/>
          <c:showVal val="0"/>
          <c:showCatName val="0"/>
          <c:showSerName val="0"/>
          <c:showPercent val="0"/>
          <c:showBubbleSize val="0"/>
        </c:dLbls>
        <c:axId val="78894592"/>
        <c:axId val="78896512"/>
      </c:scatterChart>
      <c:valAx>
        <c:axId val="78894592"/>
        <c:scaling>
          <c:orientation val="minMax"/>
          <c:max val="3"/>
          <c:min val="0"/>
        </c:scaling>
        <c:delete val="0"/>
        <c:axPos val="b"/>
        <c:title>
          <c:tx>
            <c:rich>
              <a:bodyPr/>
              <a:lstStyle/>
              <a:p>
                <a:pPr>
                  <a:defRPr sz="1400"/>
                </a:pPr>
                <a:r>
                  <a:rPr lang="en-US" sz="1400"/>
                  <a:t>Region</a:t>
                </a:r>
              </a:p>
            </c:rich>
          </c:tx>
          <c:overlay val="0"/>
        </c:title>
        <c:numFmt formatCode="General" sourceLinked="1"/>
        <c:majorTickMark val="in"/>
        <c:minorTickMark val="none"/>
        <c:tickLblPos val="nextTo"/>
        <c:txPr>
          <a:bodyPr/>
          <a:lstStyle/>
          <a:p>
            <a:pPr>
              <a:defRPr sz="1200"/>
            </a:pPr>
            <a:endParaRPr lang="en-US"/>
          </a:p>
        </c:txPr>
        <c:crossAx val="78896512"/>
        <c:crosses val="autoZero"/>
        <c:crossBetween val="midCat"/>
        <c:majorUnit val="1"/>
      </c:valAx>
      <c:valAx>
        <c:axId val="78896512"/>
        <c:scaling>
          <c:orientation val="minMax"/>
        </c:scaling>
        <c:delete val="0"/>
        <c:axPos val="l"/>
        <c:title>
          <c:tx>
            <c:rich>
              <a:bodyPr rot="-5400000" vert="horz"/>
              <a:lstStyle/>
              <a:p>
                <a:pPr>
                  <a:defRPr sz="1400"/>
                </a:pPr>
                <a:r>
                  <a:rPr lang="en-US" sz="1400"/>
                  <a:t>Overpotential, V</a:t>
                </a:r>
              </a:p>
            </c:rich>
          </c:tx>
          <c:layout>
            <c:manualLayout>
              <c:xMode val="edge"/>
              <c:yMode val="edge"/>
              <c:x val="1.0861111111111099E-2"/>
              <c:y val="0.27531476407494099"/>
            </c:manualLayout>
          </c:layout>
          <c:overlay val="0"/>
        </c:title>
        <c:numFmt formatCode="0.000" sourceLinked="1"/>
        <c:majorTickMark val="in"/>
        <c:minorTickMark val="none"/>
        <c:tickLblPos val="nextTo"/>
        <c:txPr>
          <a:bodyPr/>
          <a:lstStyle/>
          <a:p>
            <a:pPr>
              <a:defRPr sz="1200"/>
            </a:pPr>
            <a:endParaRPr lang="en-US"/>
          </a:p>
        </c:txPr>
        <c:crossAx val="78894592"/>
        <c:crosses val="autoZero"/>
        <c:crossBetween val="midCat"/>
      </c:valAx>
    </c:plotArea>
    <c:legend>
      <c:legendPos val="r"/>
      <c:layout>
        <c:manualLayout>
          <c:xMode val="edge"/>
          <c:yMode val="edge"/>
          <c:x val="0.201421112974597"/>
          <c:y val="0.156088337928011"/>
          <c:w val="0.42370909886264202"/>
          <c:h val="0.22880844142913201"/>
        </c:manualLayout>
      </c:layout>
      <c:overlay val="1"/>
      <c:txPr>
        <a:bodyPr/>
        <a:lstStyle/>
        <a:p>
          <a:pPr>
            <a:defRPr sz="12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linear"/>
            <c:dispRSqr val="0"/>
            <c:dispEq val="1"/>
            <c:trendlineLbl>
              <c:numFmt formatCode="0.0000" sourceLinked="0"/>
              <c:spPr>
                <a:noFill/>
                <a:ln w="25400">
                  <a:noFill/>
                </a:ln>
              </c:spPr>
              <c:txPr>
                <a:bodyPr/>
                <a:lstStyle/>
                <a:p>
                  <a:pPr>
                    <a:defRPr sz="100" b="0" i="0" u="none" strike="noStrike" baseline="0">
                      <a:solidFill>
                        <a:srgbClr val="000000"/>
                      </a:solidFill>
                      <a:latin typeface="Arial"/>
                      <a:ea typeface="Arial"/>
                      <a:cs typeface="Arial"/>
                    </a:defRPr>
                  </a:pPr>
                  <a:endParaRPr lang="en-US"/>
                </a:p>
              </c:txPr>
            </c:trendlineLbl>
          </c:trendline>
          <c:smooth val="0"/>
        </c:ser>
        <c:ser>
          <c:idx val="1"/>
          <c:order val="1"/>
          <c:spPr>
            <a:ln w="28575">
              <a:noFill/>
            </a:ln>
          </c:spPr>
          <c:marker>
            <c:symbol val="square"/>
            <c:size val="5"/>
            <c:spPr>
              <a:solidFill>
                <a:srgbClr val="FF00FF"/>
              </a:solidFill>
              <a:ln>
                <a:solidFill>
                  <a:srgbClr val="FF00FF"/>
                </a:solidFill>
                <a:prstDash val="solid"/>
              </a:ln>
            </c:spPr>
          </c:marker>
          <c:trendline>
            <c:spPr>
              <a:ln w="25400">
                <a:solidFill>
                  <a:srgbClr val="000000"/>
                </a:solidFill>
                <a:prstDash val="solid"/>
              </a:ln>
            </c:spPr>
            <c:trendlineType val="linear"/>
            <c:dispRSqr val="0"/>
            <c:dispEq val="1"/>
            <c:trendlineLbl>
              <c:numFmt formatCode="General" sourceLinked="0"/>
              <c:spPr>
                <a:noFill/>
                <a:ln w="25400">
                  <a:noFill/>
                </a:ln>
              </c:spPr>
              <c:txPr>
                <a:bodyPr/>
                <a:lstStyle/>
                <a:p>
                  <a:pPr>
                    <a:defRPr sz="100" b="0" i="0" u="none" strike="noStrike" baseline="0">
                      <a:solidFill>
                        <a:srgbClr val="000000"/>
                      </a:solidFill>
                      <a:latin typeface="Arial"/>
                      <a:ea typeface="Arial"/>
                      <a:cs typeface="Arial"/>
                    </a:defRPr>
                  </a:pPr>
                  <a:endParaRPr lang="en-US"/>
                </a:p>
              </c:txPr>
            </c:trendlineLbl>
          </c:trendline>
          <c:smooth val="0"/>
        </c:ser>
        <c:dLbls>
          <c:showLegendKey val="0"/>
          <c:showVal val="0"/>
          <c:showCatName val="0"/>
          <c:showSerName val="0"/>
          <c:showPercent val="0"/>
          <c:showBubbleSize val="0"/>
        </c:dLbls>
        <c:axId val="112294144"/>
        <c:axId val="112295936"/>
      </c:scatterChart>
      <c:valAx>
        <c:axId val="11229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12295936"/>
        <c:crosses val="autoZero"/>
        <c:crossBetween val="midCat"/>
      </c:valAx>
      <c:valAx>
        <c:axId val="112295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1229414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1228725</xdr:colOff>
      <xdr:row>94</xdr:row>
      <xdr:rowOff>123825</xdr:rowOff>
    </xdr:from>
    <xdr:to>
      <xdr:col>4</xdr:col>
      <xdr:colOff>1247775</xdr:colOff>
      <xdr:row>116</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graphicFrame macro="">
      <xdr:nvGraphicFramePr>
        <xdr:cNvPr id="61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sqref="A1:I24"/>
    </sheetView>
  </sheetViews>
  <sheetFormatPr defaultRowHeight="12.75" x14ac:dyDescent="0.2"/>
  <sheetData>
    <row r="1" spans="1:9" x14ac:dyDescent="0.2">
      <c r="A1" s="503" t="s">
        <v>895</v>
      </c>
      <c r="B1" s="504"/>
      <c r="C1" s="504"/>
      <c r="D1" s="504"/>
      <c r="E1" s="504"/>
      <c r="F1" s="504"/>
      <c r="G1" s="504"/>
      <c r="H1" s="504"/>
      <c r="I1" s="504"/>
    </row>
    <row r="2" spans="1:9" x14ac:dyDescent="0.2">
      <c r="A2" s="504"/>
      <c r="B2" s="504"/>
      <c r="C2" s="504"/>
      <c r="D2" s="504"/>
      <c r="E2" s="504"/>
      <c r="F2" s="504"/>
      <c r="G2" s="504"/>
      <c r="H2" s="504"/>
      <c r="I2" s="504"/>
    </row>
    <row r="3" spans="1:9" x14ac:dyDescent="0.2">
      <c r="A3" s="504"/>
      <c r="B3" s="504"/>
      <c r="C3" s="504"/>
      <c r="D3" s="504"/>
      <c r="E3" s="504"/>
      <c r="F3" s="504"/>
      <c r="G3" s="504"/>
      <c r="H3" s="504"/>
      <c r="I3" s="504"/>
    </row>
    <row r="4" spans="1:9" x14ac:dyDescent="0.2">
      <c r="A4" s="504"/>
      <c r="B4" s="504"/>
      <c r="C4" s="504"/>
      <c r="D4" s="504"/>
      <c r="E4" s="504"/>
      <c r="F4" s="504"/>
      <c r="G4" s="504"/>
      <c r="H4" s="504"/>
      <c r="I4" s="504"/>
    </row>
    <row r="5" spans="1:9" x14ac:dyDescent="0.2">
      <c r="A5" s="504"/>
      <c r="B5" s="504"/>
      <c r="C5" s="504"/>
      <c r="D5" s="504"/>
      <c r="E5" s="504"/>
      <c r="F5" s="504"/>
      <c r="G5" s="504"/>
      <c r="H5" s="504"/>
      <c r="I5" s="504"/>
    </row>
    <row r="6" spans="1:9" x14ac:dyDescent="0.2">
      <c r="A6" s="504"/>
      <c r="B6" s="504"/>
      <c r="C6" s="504"/>
      <c r="D6" s="504"/>
      <c r="E6" s="504"/>
      <c r="F6" s="504"/>
      <c r="G6" s="504"/>
      <c r="H6" s="504"/>
      <c r="I6" s="504"/>
    </row>
    <row r="7" spans="1:9" x14ac:dyDescent="0.2">
      <c r="A7" s="504"/>
      <c r="B7" s="504"/>
      <c r="C7" s="504"/>
      <c r="D7" s="504"/>
      <c r="E7" s="504"/>
      <c r="F7" s="504"/>
      <c r="G7" s="504"/>
      <c r="H7" s="504"/>
      <c r="I7" s="504"/>
    </row>
    <row r="8" spans="1:9" x14ac:dyDescent="0.2">
      <c r="A8" s="504"/>
      <c r="B8" s="504"/>
      <c r="C8" s="504"/>
      <c r="D8" s="504"/>
      <c r="E8" s="504"/>
      <c r="F8" s="504"/>
      <c r="G8" s="504"/>
      <c r="H8" s="504"/>
      <c r="I8" s="504"/>
    </row>
    <row r="9" spans="1:9" x14ac:dyDescent="0.2">
      <c r="A9" s="504"/>
      <c r="B9" s="504"/>
      <c r="C9" s="504"/>
      <c r="D9" s="504"/>
      <c r="E9" s="504"/>
      <c r="F9" s="504"/>
      <c r="G9" s="504"/>
      <c r="H9" s="504"/>
      <c r="I9" s="504"/>
    </row>
    <row r="10" spans="1:9" x14ac:dyDescent="0.2">
      <c r="A10" s="504"/>
      <c r="B10" s="504"/>
      <c r="C10" s="504"/>
      <c r="D10" s="504"/>
      <c r="E10" s="504"/>
      <c r="F10" s="504"/>
      <c r="G10" s="504"/>
      <c r="H10" s="504"/>
      <c r="I10" s="504"/>
    </row>
    <row r="11" spans="1:9" x14ac:dyDescent="0.2">
      <c r="A11" s="504"/>
      <c r="B11" s="504"/>
      <c r="C11" s="504"/>
      <c r="D11" s="504"/>
      <c r="E11" s="504"/>
      <c r="F11" s="504"/>
      <c r="G11" s="504"/>
      <c r="H11" s="504"/>
      <c r="I11" s="504"/>
    </row>
    <row r="12" spans="1:9" x14ac:dyDescent="0.2">
      <c r="A12" s="504"/>
      <c r="B12" s="504"/>
      <c r="C12" s="504"/>
      <c r="D12" s="504"/>
      <c r="E12" s="504"/>
      <c r="F12" s="504"/>
      <c r="G12" s="504"/>
      <c r="H12" s="504"/>
      <c r="I12" s="504"/>
    </row>
    <row r="13" spans="1:9" x14ac:dyDescent="0.2">
      <c r="A13" s="504"/>
      <c r="B13" s="504"/>
      <c r="C13" s="504"/>
      <c r="D13" s="504"/>
      <c r="E13" s="504"/>
      <c r="F13" s="504"/>
      <c r="G13" s="504"/>
      <c r="H13" s="504"/>
      <c r="I13" s="504"/>
    </row>
    <row r="14" spans="1:9" x14ac:dyDescent="0.2">
      <c r="A14" s="504"/>
      <c r="B14" s="504"/>
      <c r="C14" s="504"/>
      <c r="D14" s="504"/>
      <c r="E14" s="504"/>
      <c r="F14" s="504"/>
      <c r="G14" s="504"/>
      <c r="H14" s="504"/>
      <c r="I14" s="504"/>
    </row>
    <row r="15" spans="1:9" x14ac:dyDescent="0.2">
      <c r="A15" s="504"/>
      <c r="B15" s="504"/>
      <c r="C15" s="504"/>
      <c r="D15" s="504"/>
      <c r="E15" s="504"/>
      <c r="F15" s="504"/>
      <c r="G15" s="504"/>
      <c r="H15" s="504"/>
      <c r="I15" s="504"/>
    </row>
    <row r="16" spans="1:9" x14ac:dyDescent="0.2">
      <c r="A16" s="504"/>
      <c r="B16" s="504"/>
      <c r="C16" s="504"/>
      <c r="D16" s="504"/>
      <c r="E16" s="504"/>
      <c r="F16" s="504"/>
      <c r="G16" s="504"/>
      <c r="H16" s="504"/>
      <c r="I16" s="504"/>
    </row>
    <row r="17" spans="1:9" x14ac:dyDescent="0.2">
      <c r="A17" s="504"/>
      <c r="B17" s="504"/>
      <c r="C17" s="504"/>
      <c r="D17" s="504"/>
      <c r="E17" s="504"/>
      <c r="F17" s="504"/>
      <c r="G17" s="504"/>
      <c r="H17" s="504"/>
      <c r="I17" s="504"/>
    </row>
    <row r="18" spans="1:9" x14ac:dyDescent="0.2">
      <c r="A18" s="504"/>
      <c r="B18" s="504"/>
      <c r="C18" s="504"/>
      <c r="D18" s="504"/>
      <c r="E18" s="504"/>
      <c r="F18" s="504"/>
      <c r="G18" s="504"/>
      <c r="H18" s="504"/>
      <c r="I18" s="504"/>
    </row>
    <row r="19" spans="1:9" x14ac:dyDescent="0.2">
      <c r="A19" s="504"/>
      <c r="B19" s="504"/>
      <c r="C19" s="504"/>
      <c r="D19" s="504"/>
      <c r="E19" s="504"/>
      <c r="F19" s="504"/>
      <c r="G19" s="504"/>
      <c r="H19" s="504"/>
      <c r="I19" s="504"/>
    </row>
    <row r="20" spans="1:9" x14ac:dyDescent="0.2">
      <c r="A20" s="504"/>
      <c r="B20" s="504"/>
      <c r="C20" s="504"/>
      <c r="D20" s="504"/>
      <c r="E20" s="504"/>
      <c r="F20" s="504"/>
      <c r="G20" s="504"/>
      <c r="H20" s="504"/>
      <c r="I20" s="504"/>
    </row>
    <row r="21" spans="1:9" x14ac:dyDescent="0.2">
      <c r="A21" s="504"/>
      <c r="B21" s="504"/>
      <c r="C21" s="504"/>
      <c r="D21" s="504"/>
      <c r="E21" s="504"/>
      <c r="F21" s="504"/>
      <c r="G21" s="504"/>
      <c r="H21" s="504"/>
      <c r="I21" s="504"/>
    </row>
    <row r="22" spans="1:9" x14ac:dyDescent="0.2">
      <c r="A22" s="504"/>
      <c r="B22" s="504"/>
      <c r="C22" s="504"/>
      <c r="D22" s="504"/>
      <c r="E22" s="504"/>
      <c r="F22" s="504"/>
      <c r="G22" s="504"/>
      <c r="H22" s="504"/>
      <c r="I22" s="504"/>
    </row>
    <row r="23" spans="1:9" x14ac:dyDescent="0.2">
      <c r="A23" s="504"/>
      <c r="B23" s="504"/>
      <c r="C23" s="504"/>
      <c r="D23" s="504"/>
      <c r="E23" s="504"/>
      <c r="F23" s="504"/>
      <c r="G23" s="504"/>
      <c r="H23" s="504"/>
      <c r="I23" s="504"/>
    </row>
    <row r="24" spans="1:9" x14ac:dyDescent="0.2">
      <c r="A24" s="504"/>
      <c r="B24" s="504"/>
      <c r="C24" s="504"/>
      <c r="D24" s="504"/>
      <c r="E24" s="504"/>
      <c r="F24" s="504"/>
      <c r="G24" s="504"/>
      <c r="H24" s="504"/>
      <c r="I24" s="504"/>
    </row>
  </sheetData>
  <mergeCells count="1">
    <mergeCell ref="A1:I2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T248"/>
  <sheetViews>
    <sheetView topLeftCell="A61" workbookViewId="0">
      <selection activeCell="E39" sqref="E39"/>
    </sheetView>
  </sheetViews>
  <sheetFormatPr defaultColWidth="8.85546875" defaultRowHeight="12.75" x14ac:dyDescent="0.2"/>
  <cols>
    <col min="1" max="3" width="10.28515625" customWidth="1"/>
    <col min="4" max="5" width="10.7109375" customWidth="1"/>
    <col min="6" max="6" width="10.28515625" customWidth="1"/>
    <col min="7" max="7" width="17.140625" customWidth="1"/>
    <col min="8" max="8" width="9.85546875" customWidth="1"/>
    <col min="9" max="9" width="14.42578125" customWidth="1"/>
    <col min="10" max="10" width="10.85546875" customWidth="1"/>
    <col min="11" max="11" width="21.85546875" customWidth="1"/>
    <col min="12" max="12" width="11" customWidth="1"/>
    <col min="15" max="15" width="10.85546875" customWidth="1"/>
    <col min="16" max="16" width="16.42578125" customWidth="1"/>
    <col min="17" max="17" width="11.7109375" customWidth="1"/>
  </cols>
  <sheetData>
    <row r="1" spans="1:16" ht="15.75" x14ac:dyDescent="0.25">
      <c r="A1" s="510" t="s">
        <v>237</v>
      </c>
      <c r="B1" s="510"/>
      <c r="C1" s="510"/>
      <c r="D1" s="510"/>
      <c r="E1" s="510"/>
      <c r="F1" s="510"/>
      <c r="G1" s="510"/>
      <c r="H1" s="510"/>
      <c r="I1" s="510"/>
      <c r="J1" s="510"/>
    </row>
    <row r="2" spans="1:16" ht="13.5" thickBot="1" x14ac:dyDescent="0.25">
      <c r="A2" s="55"/>
      <c r="B2" s="55"/>
      <c r="C2" s="55"/>
      <c r="D2" s="55"/>
      <c r="E2" s="55"/>
      <c r="F2" s="56"/>
      <c r="G2" s="56"/>
      <c r="H2" s="56"/>
      <c r="I2" s="56"/>
      <c r="J2" s="56"/>
    </row>
    <row r="3" spans="1:16" ht="15.75" x14ac:dyDescent="0.25">
      <c r="A3" s="336" t="s">
        <v>339</v>
      </c>
      <c r="B3" s="59"/>
      <c r="C3" s="59"/>
      <c r="F3" s="118" t="s">
        <v>177</v>
      </c>
      <c r="G3" s="113"/>
      <c r="H3" s="113"/>
      <c r="I3" s="114"/>
      <c r="J3" s="124"/>
    </row>
    <row r="4" spans="1:16" ht="13.5" thickBot="1" x14ac:dyDescent="0.25">
      <c r="A4" s="45" t="s">
        <v>23</v>
      </c>
      <c r="B4" s="45"/>
      <c r="C4" s="45"/>
      <c r="E4" s="96">
        <v>95</v>
      </c>
      <c r="F4" s="119" t="s">
        <v>178</v>
      </c>
      <c r="G4" s="115"/>
      <c r="H4" s="115"/>
      <c r="I4" s="116"/>
      <c r="J4" s="117"/>
      <c r="K4" s="167"/>
    </row>
    <row r="5" spans="1:16" x14ac:dyDescent="0.2">
      <c r="A5" s="5" t="s">
        <v>236</v>
      </c>
      <c r="F5" s="8" t="s">
        <v>192</v>
      </c>
      <c r="G5" s="8"/>
      <c r="H5" s="8" t="s">
        <v>337</v>
      </c>
      <c r="I5" s="8" t="s">
        <v>390</v>
      </c>
      <c r="J5" s="8" t="s">
        <v>101</v>
      </c>
      <c r="K5" s="169"/>
    </row>
    <row r="6" spans="1:16" x14ac:dyDescent="0.2">
      <c r="A6" s="5"/>
      <c r="F6" s="8" t="s">
        <v>335</v>
      </c>
      <c r="G6" s="63" t="s">
        <v>336</v>
      </c>
      <c r="H6" s="63" t="s">
        <v>217</v>
      </c>
      <c r="I6" s="63" t="s">
        <v>391</v>
      </c>
      <c r="J6" s="59" t="s">
        <v>338</v>
      </c>
      <c r="K6" s="169"/>
    </row>
    <row r="7" spans="1:16" x14ac:dyDescent="0.2">
      <c r="A7" s="7" t="s">
        <v>235</v>
      </c>
      <c r="B7" s="7"/>
      <c r="C7" s="7"/>
      <c r="E7" s="337">
        <f>ROUND(F7*G7*H7*I7/1000000,1)</f>
        <v>92.2</v>
      </c>
      <c r="F7" s="3">
        <v>99</v>
      </c>
      <c r="G7" s="60">
        <v>95</v>
      </c>
      <c r="H7" s="168">
        <v>99</v>
      </c>
      <c r="I7" s="168">
        <v>99</v>
      </c>
      <c r="J7" s="59"/>
      <c r="K7" s="171"/>
    </row>
    <row r="8" spans="1:16" x14ac:dyDescent="0.2">
      <c r="A8" s="7" t="s">
        <v>97</v>
      </c>
      <c r="B8" s="7"/>
      <c r="C8" s="7"/>
      <c r="E8" s="337">
        <f>ROUND(F8*G8*H8*I8/1000000,1)</f>
        <v>92.2</v>
      </c>
      <c r="F8" s="3">
        <v>99</v>
      </c>
      <c r="G8" s="60">
        <v>95</v>
      </c>
      <c r="H8" s="168">
        <v>99</v>
      </c>
      <c r="I8" s="168">
        <v>99</v>
      </c>
      <c r="J8" s="59"/>
      <c r="K8" s="171"/>
    </row>
    <row r="9" spans="1:16" x14ac:dyDescent="0.2">
      <c r="A9" s="7" t="s">
        <v>98</v>
      </c>
      <c r="B9" s="7"/>
      <c r="C9" s="7"/>
      <c r="E9" s="337">
        <f>ROUND(G9*H9*I9/10000,1)</f>
        <v>90.2</v>
      </c>
      <c r="F9" s="3"/>
      <c r="G9" s="3">
        <v>99</v>
      </c>
      <c r="H9" s="168">
        <v>92</v>
      </c>
      <c r="I9" s="168">
        <v>99</v>
      </c>
      <c r="J9" s="59"/>
      <c r="K9" s="171"/>
    </row>
    <row r="10" spans="1:16" x14ac:dyDescent="0.2">
      <c r="A10" s="7" t="s">
        <v>99</v>
      </c>
      <c r="B10" s="7"/>
      <c r="C10" s="7"/>
      <c r="E10" s="337">
        <f>ROUND(G10*H10*I10/10000,1)</f>
        <v>90.2</v>
      </c>
      <c r="F10" s="3"/>
      <c r="G10" s="60">
        <v>99</v>
      </c>
      <c r="H10" s="168">
        <v>92</v>
      </c>
      <c r="I10" s="168">
        <v>99</v>
      </c>
      <c r="J10" s="59"/>
      <c r="K10" s="171"/>
    </row>
    <row r="11" spans="1:16" x14ac:dyDescent="0.2">
      <c r="A11" s="7" t="s">
        <v>100</v>
      </c>
      <c r="B11" s="7"/>
      <c r="C11" s="7"/>
      <c r="E11" s="337">
        <f>I11</f>
        <v>98</v>
      </c>
      <c r="F11" s="3"/>
      <c r="G11" s="60"/>
      <c r="H11" s="168"/>
      <c r="I11" s="168">
        <v>98</v>
      </c>
      <c r="J11" s="59"/>
      <c r="K11" s="171"/>
    </row>
    <row r="12" spans="1:16" x14ac:dyDescent="0.2">
      <c r="A12" s="7" t="s">
        <v>101</v>
      </c>
      <c r="B12" s="7"/>
      <c r="C12" s="7"/>
      <c r="E12" s="337">
        <f>J12</f>
        <v>94</v>
      </c>
      <c r="F12" s="202"/>
      <c r="G12" s="168"/>
      <c r="H12" s="168"/>
      <c r="I12" s="168"/>
      <c r="J12" s="60">
        <v>94</v>
      </c>
      <c r="K12" s="171"/>
    </row>
    <row r="13" spans="1:16" x14ac:dyDescent="0.2">
      <c r="A13" s="7" t="s">
        <v>210</v>
      </c>
      <c r="B13" s="138"/>
      <c r="C13" s="138"/>
      <c r="D13" s="138"/>
      <c r="E13" s="338">
        <v>99.5</v>
      </c>
      <c r="F13" s="208"/>
      <c r="G13" s="48"/>
      <c r="H13" s="48"/>
      <c r="I13" s="48"/>
      <c r="P13" s="92"/>
    </row>
    <row r="14" spans="1:16" ht="15.75" x14ac:dyDescent="0.25">
      <c r="A14" s="18" t="s">
        <v>24</v>
      </c>
      <c r="E14" s="131"/>
      <c r="F14" s="57" t="s">
        <v>175</v>
      </c>
      <c r="L14" s="45"/>
      <c r="M14" s="45"/>
      <c r="N14" s="45"/>
      <c r="O14" s="58"/>
      <c r="P14" s="62"/>
    </row>
    <row r="15" spans="1:16" x14ac:dyDescent="0.2">
      <c r="A15" s="7" t="s">
        <v>26</v>
      </c>
      <c r="B15" s="7"/>
      <c r="C15" s="7"/>
      <c r="D15" s="8"/>
      <c r="E15" s="63" t="s">
        <v>27</v>
      </c>
      <c r="F15" s="45" t="s">
        <v>22</v>
      </c>
      <c r="G15" s="45"/>
      <c r="H15" s="45"/>
      <c r="I15" s="45"/>
      <c r="J15" s="342">
        <v>100000</v>
      </c>
      <c r="L15" s="157"/>
      <c r="M15" s="157"/>
      <c r="N15" s="157"/>
      <c r="O15" s="157"/>
      <c r="P15" s="60"/>
    </row>
    <row r="16" spans="1:16" x14ac:dyDescent="0.2">
      <c r="A16" s="7" t="s">
        <v>30</v>
      </c>
      <c r="B16" s="7"/>
      <c r="C16" s="7"/>
      <c r="D16" s="123">
        <f>Chem!D71</f>
        <v>0</v>
      </c>
      <c r="E16" s="123">
        <f>Chem!E71</f>
        <v>0.95</v>
      </c>
      <c r="F16" s="45" t="s">
        <v>211</v>
      </c>
      <c r="G16" s="45"/>
      <c r="H16" s="45"/>
      <c r="I16" s="58"/>
      <c r="J16" s="343">
        <v>300</v>
      </c>
      <c r="L16" s="157"/>
      <c r="M16" s="514"/>
      <c r="N16" s="514"/>
    </row>
    <row r="17" spans="1:14" x14ac:dyDescent="0.2">
      <c r="A17" s="7" t="s">
        <v>263</v>
      </c>
      <c r="B17" s="7"/>
      <c r="C17" s="7"/>
      <c r="D17" s="123">
        <f>Chem!D72</f>
        <v>50</v>
      </c>
      <c r="E17" s="123">
        <f>Chem!E72</f>
        <v>1</v>
      </c>
      <c r="F17" s="26" t="s">
        <v>566</v>
      </c>
      <c r="G17" s="45"/>
      <c r="H17" s="45"/>
      <c r="I17" s="58"/>
      <c r="J17" s="343">
        <v>3</v>
      </c>
      <c r="L17" s="157"/>
      <c r="M17" s="63"/>
      <c r="N17" s="63"/>
    </row>
    <row r="18" spans="1:14" x14ac:dyDescent="0.2">
      <c r="A18" s="7"/>
      <c r="B18" s="7"/>
      <c r="C18" s="7"/>
      <c r="D18" s="123"/>
      <c r="E18" s="123"/>
      <c r="F18" t="s">
        <v>213</v>
      </c>
      <c r="G18" s="48"/>
      <c r="H18" s="48"/>
      <c r="I18" s="58"/>
      <c r="J18" s="344">
        <f>J16*J17</f>
        <v>900</v>
      </c>
      <c r="L18" s="157"/>
      <c r="M18" s="322"/>
      <c r="N18" s="322"/>
    </row>
    <row r="19" spans="1:14" x14ac:dyDescent="0.2">
      <c r="A19" s="7" t="s">
        <v>36</v>
      </c>
      <c r="B19" s="7"/>
      <c r="C19" s="7"/>
      <c r="D19" s="123">
        <f>Chem!D73</f>
        <v>10</v>
      </c>
      <c r="E19" s="123">
        <f>Chem!E73</f>
        <v>1</v>
      </c>
      <c r="F19" s="48" t="s">
        <v>225</v>
      </c>
      <c r="G19" s="48"/>
      <c r="H19" s="48"/>
      <c r="I19" s="204"/>
      <c r="J19" s="223">
        <v>869416.40599431924</v>
      </c>
      <c r="L19" s="157"/>
      <c r="M19" s="322"/>
      <c r="N19" s="322"/>
    </row>
    <row r="20" spans="1:14" x14ac:dyDescent="0.2">
      <c r="A20" s="7" t="s">
        <v>38</v>
      </c>
      <c r="B20" s="7"/>
      <c r="C20" s="7"/>
      <c r="D20" s="123">
        <f>Chem!D74</f>
        <v>3.2</v>
      </c>
      <c r="E20" s="123">
        <f>Chem!E74</f>
        <v>1</v>
      </c>
      <c r="F20" s="45" t="s">
        <v>75</v>
      </c>
      <c r="G20" s="48"/>
      <c r="H20" s="48"/>
      <c r="I20" s="58"/>
      <c r="J20" s="203">
        <v>6000000</v>
      </c>
      <c r="L20" s="157"/>
      <c r="M20" s="322"/>
      <c r="N20" s="322"/>
    </row>
    <row r="21" spans="1:14" x14ac:dyDescent="0.2">
      <c r="A21" s="7" t="s">
        <v>39</v>
      </c>
      <c r="B21" s="7"/>
      <c r="C21" s="7"/>
      <c r="D21" s="102"/>
      <c r="E21" s="102"/>
      <c r="F21" s="48" t="s">
        <v>76</v>
      </c>
      <c r="G21" s="48"/>
      <c r="H21" s="48"/>
      <c r="I21" s="232"/>
      <c r="J21" s="203">
        <v>6315789.4736842103</v>
      </c>
      <c r="L21" s="157"/>
      <c r="M21" s="322"/>
      <c r="N21" s="322"/>
    </row>
    <row r="22" spans="1:14" ht="14.25" x14ac:dyDescent="0.2">
      <c r="A22" s="7" t="s">
        <v>30</v>
      </c>
      <c r="B22" s="7"/>
      <c r="C22" s="7"/>
      <c r="D22" s="123">
        <f>Chem!D76</f>
        <v>100</v>
      </c>
      <c r="E22" s="123">
        <f>Chem!E76</f>
        <v>0.95</v>
      </c>
      <c r="F22" s="48" t="s">
        <v>226</v>
      </c>
      <c r="G22" s="48"/>
      <c r="H22" s="48"/>
      <c r="I22" s="58"/>
      <c r="J22" s="203">
        <v>8209039.0739184599</v>
      </c>
      <c r="L22" s="157"/>
      <c r="M22" s="322"/>
      <c r="N22" s="322"/>
    </row>
    <row r="23" spans="1:14" x14ac:dyDescent="0.2">
      <c r="A23" s="7" t="s">
        <v>34</v>
      </c>
      <c r="B23" s="7"/>
      <c r="C23" s="7"/>
      <c r="D23" s="123">
        <f>Chem!D77</f>
        <v>6.8</v>
      </c>
      <c r="E23" s="123">
        <f>Chem!E77</f>
        <v>1</v>
      </c>
      <c r="F23" s="48" t="s">
        <v>331</v>
      </c>
      <c r="G23" s="48"/>
      <c r="H23" s="48"/>
      <c r="I23" s="58"/>
      <c r="J23" s="203">
        <v>1712524.2607603606</v>
      </c>
      <c r="L23" s="157"/>
      <c r="M23" s="322"/>
      <c r="N23" s="322"/>
    </row>
    <row r="24" spans="1:14" x14ac:dyDescent="0.2">
      <c r="A24" s="252" t="s">
        <v>296</v>
      </c>
      <c r="B24" s="7"/>
      <c r="C24" s="7"/>
      <c r="D24" s="123">
        <f>Chem!D78</f>
        <v>10</v>
      </c>
      <c r="E24" s="123">
        <f>Chem!E78</f>
        <v>1</v>
      </c>
      <c r="F24" s="48" t="s">
        <v>332</v>
      </c>
      <c r="G24" s="48"/>
      <c r="H24" s="48"/>
      <c r="I24" s="58"/>
      <c r="J24" s="203">
        <v>1205892.2607955937</v>
      </c>
      <c r="L24" s="157"/>
      <c r="M24" s="322"/>
      <c r="N24" s="322"/>
    </row>
    <row r="25" spans="1:14" x14ac:dyDescent="0.2">
      <c r="A25" s="7" t="s">
        <v>274</v>
      </c>
      <c r="B25" s="7"/>
      <c r="C25" s="7"/>
      <c r="D25" s="123">
        <f>Chem!D79</f>
        <v>0</v>
      </c>
      <c r="E25" s="123">
        <f>Chem!E79</f>
        <v>1</v>
      </c>
      <c r="F25" s="48" t="s">
        <v>343</v>
      </c>
      <c r="G25" s="48"/>
      <c r="H25" s="48"/>
      <c r="I25" s="58"/>
      <c r="J25" s="203">
        <v>2309021.4751825081</v>
      </c>
      <c r="L25" s="157"/>
      <c r="M25" s="322"/>
      <c r="N25" s="322"/>
    </row>
    <row r="26" spans="1:14" ht="14.25" x14ac:dyDescent="0.2">
      <c r="A26" s="7" t="s">
        <v>149</v>
      </c>
      <c r="B26" s="7"/>
      <c r="C26" s="7"/>
      <c r="D26" s="123">
        <f>Chem!D80</f>
        <v>0.8</v>
      </c>
      <c r="E26" s="123">
        <f>Chem!E80</f>
        <v>1</v>
      </c>
      <c r="F26" s="48" t="s">
        <v>344</v>
      </c>
      <c r="G26" s="48"/>
      <c r="H26" s="48"/>
      <c r="I26" s="58"/>
      <c r="J26" s="203">
        <v>1527104.6987965889</v>
      </c>
      <c r="L26" s="157"/>
      <c r="M26" s="322"/>
      <c r="N26" s="322"/>
    </row>
    <row r="27" spans="1:14" ht="15.75" x14ac:dyDescent="0.3">
      <c r="A27" s="7" t="s">
        <v>150</v>
      </c>
      <c r="B27" s="7"/>
      <c r="C27" s="7"/>
      <c r="D27" s="123">
        <f>Chem!D81</f>
        <v>1.8</v>
      </c>
      <c r="E27" s="123">
        <f>Chem!E81</f>
        <v>1</v>
      </c>
      <c r="F27" s="48" t="s">
        <v>324</v>
      </c>
      <c r="J27" s="203">
        <v>3000</v>
      </c>
      <c r="L27" s="157"/>
      <c r="M27" s="322"/>
      <c r="N27" s="322"/>
    </row>
    <row r="28" spans="1:14" ht="15.75" x14ac:dyDescent="0.25">
      <c r="A28" s="7" t="s">
        <v>43</v>
      </c>
      <c r="B28" s="7"/>
      <c r="C28" s="7"/>
      <c r="D28" s="123">
        <f>Chem!D82</f>
        <v>2</v>
      </c>
      <c r="E28" s="123">
        <f>Chem!E82</f>
        <v>1</v>
      </c>
      <c r="G28" s="1"/>
      <c r="H28" s="1"/>
      <c r="I28" s="1"/>
      <c r="J28" s="280"/>
      <c r="L28" s="157"/>
      <c r="M28" s="322"/>
      <c r="N28" s="322"/>
    </row>
    <row r="29" spans="1:14" ht="15.75" x14ac:dyDescent="0.25">
      <c r="A29" s="7" t="s">
        <v>44</v>
      </c>
      <c r="B29" s="7"/>
      <c r="C29" s="7"/>
      <c r="D29" s="123">
        <f>Chem!D83</f>
        <v>21.6</v>
      </c>
      <c r="E29" s="123">
        <f>Chem!E83</f>
        <v>1</v>
      </c>
      <c r="F29" s="16"/>
      <c r="G29" s="340"/>
      <c r="H29" s="340"/>
      <c r="I29" s="340"/>
      <c r="J29" s="280"/>
      <c r="L29" s="157"/>
      <c r="M29" s="322"/>
      <c r="N29" s="322"/>
    </row>
    <row r="30" spans="1:14" ht="15.75" x14ac:dyDescent="0.25">
      <c r="A30" s="18" t="s">
        <v>152</v>
      </c>
      <c r="F30" s="16" t="s">
        <v>160</v>
      </c>
      <c r="G30" s="340"/>
      <c r="H30" s="340"/>
      <c r="I30" s="340"/>
      <c r="J30" s="280"/>
      <c r="L30" s="157"/>
      <c r="M30" s="322"/>
      <c r="N30" s="322"/>
    </row>
    <row r="31" spans="1:14" ht="15.75" x14ac:dyDescent="0.25">
      <c r="A31" s="207"/>
      <c r="C31" s="513" t="s">
        <v>25</v>
      </c>
      <c r="D31" s="513"/>
      <c r="F31" s="5" t="s">
        <v>62</v>
      </c>
      <c r="G31" s="1"/>
      <c r="H31" s="1"/>
      <c r="I31" s="1"/>
      <c r="J31" s="280"/>
      <c r="L31" s="157"/>
      <c r="M31" s="322"/>
      <c r="N31" s="322"/>
    </row>
    <row r="32" spans="1:14" ht="14.25" x14ac:dyDescent="0.2">
      <c r="C32" s="8" t="s">
        <v>28</v>
      </c>
      <c r="D32" s="8" t="s">
        <v>29</v>
      </c>
      <c r="F32" t="s">
        <v>163</v>
      </c>
      <c r="J32" s="99">
        <v>3000</v>
      </c>
      <c r="L32" s="157"/>
      <c r="M32" s="322"/>
      <c r="N32" s="322"/>
    </row>
    <row r="33" spans="1:14" x14ac:dyDescent="0.2">
      <c r="C33" s="8" t="s">
        <v>31</v>
      </c>
      <c r="D33" s="8" t="s">
        <v>32</v>
      </c>
      <c r="E33" s="8" t="s">
        <v>27</v>
      </c>
      <c r="F33" t="s">
        <v>63</v>
      </c>
      <c r="J33" s="3"/>
      <c r="L33" s="157"/>
      <c r="M33" s="322"/>
      <c r="N33" s="322"/>
    </row>
    <row r="34" spans="1:14" x14ac:dyDescent="0.2">
      <c r="A34" s="45" t="s">
        <v>33</v>
      </c>
      <c r="C34" s="97">
        <v>4</v>
      </c>
      <c r="D34" s="97">
        <v>0.25</v>
      </c>
      <c r="E34" s="97">
        <v>0.8</v>
      </c>
      <c r="F34" t="s">
        <v>582</v>
      </c>
      <c r="J34" s="99">
        <v>5</v>
      </c>
      <c r="L34" s="157"/>
      <c r="M34" s="322"/>
      <c r="N34" s="322"/>
    </row>
    <row r="35" spans="1:14" x14ac:dyDescent="0.2">
      <c r="A35" s="45" t="s">
        <v>35</v>
      </c>
      <c r="C35" s="97">
        <f>IF(D27&gt;D26,6,C34)</f>
        <v>6</v>
      </c>
      <c r="D35" s="97">
        <v>0.25</v>
      </c>
      <c r="E35" s="97">
        <v>0.8</v>
      </c>
      <c r="F35" t="s">
        <v>64</v>
      </c>
      <c r="J35" s="99">
        <v>10</v>
      </c>
      <c r="L35" s="157"/>
      <c r="M35" s="322"/>
      <c r="N35" s="322"/>
    </row>
    <row r="36" spans="1:14" x14ac:dyDescent="0.2">
      <c r="A36" s="45" t="s">
        <v>37</v>
      </c>
      <c r="C36" s="97">
        <v>3</v>
      </c>
      <c r="D36" s="97">
        <v>0.2</v>
      </c>
      <c r="E36" s="97">
        <v>0.8</v>
      </c>
      <c r="F36" t="s">
        <v>65</v>
      </c>
      <c r="J36" s="99">
        <v>15</v>
      </c>
      <c r="L36" s="157"/>
      <c r="M36" s="322"/>
      <c r="N36" s="322"/>
    </row>
    <row r="37" spans="1:14" x14ac:dyDescent="0.2">
      <c r="A37" s="48" t="s">
        <v>398</v>
      </c>
      <c r="C37" s="97">
        <v>4</v>
      </c>
      <c r="D37" s="97">
        <v>0.1</v>
      </c>
      <c r="E37" s="97">
        <v>0.8</v>
      </c>
      <c r="F37" s="5" t="s">
        <v>66</v>
      </c>
      <c r="J37" s="3"/>
      <c r="L37" s="157"/>
      <c r="M37" s="322"/>
      <c r="N37" s="322"/>
    </row>
    <row r="38" spans="1:14" x14ac:dyDescent="0.2">
      <c r="A38" s="48" t="s">
        <v>437</v>
      </c>
      <c r="B38" s="106"/>
      <c r="C38" s="102"/>
      <c r="D38" s="102"/>
      <c r="E38" s="102"/>
      <c r="F38" s="75" t="s">
        <v>180</v>
      </c>
      <c r="J38" s="3"/>
      <c r="L38" s="157"/>
      <c r="M38" s="322"/>
      <c r="N38" s="322"/>
    </row>
    <row r="39" spans="1:14" ht="15.75" x14ac:dyDescent="0.25">
      <c r="A39" s="18" t="s">
        <v>397</v>
      </c>
      <c r="B39" s="18"/>
      <c r="C39" s="18"/>
      <c r="D39" s="65"/>
      <c r="F39" t="s">
        <v>67</v>
      </c>
      <c r="J39" s="99">
        <v>18</v>
      </c>
      <c r="L39" s="157"/>
      <c r="M39" s="322"/>
      <c r="N39" s="322"/>
    </row>
    <row r="40" spans="1:14" x14ac:dyDescent="0.2">
      <c r="A40" s="7" t="s">
        <v>396</v>
      </c>
      <c r="F40" t="s">
        <v>420</v>
      </c>
      <c r="J40" s="133"/>
      <c r="L40" s="157"/>
      <c r="M40" s="322"/>
      <c r="N40" s="322"/>
    </row>
    <row r="41" spans="1:14" x14ac:dyDescent="0.2">
      <c r="A41" s="7" t="s">
        <v>41</v>
      </c>
      <c r="E41" s="97">
        <v>2.5</v>
      </c>
      <c r="F41" t="s">
        <v>419</v>
      </c>
      <c r="J41" s="99">
        <v>40</v>
      </c>
      <c r="L41" s="157"/>
      <c r="M41" s="322"/>
      <c r="N41" s="322"/>
    </row>
    <row r="42" spans="1:14" x14ac:dyDescent="0.2">
      <c r="A42" s="7" t="s">
        <v>435</v>
      </c>
      <c r="E42" s="98">
        <v>0.01</v>
      </c>
      <c r="F42" s="7" t="s">
        <v>439</v>
      </c>
      <c r="J42" s="99">
        <v>20</v>
      </c>
      <c r="L42" s="157"/>
      <c r="M42" s="322"/>
      <c r="N42" s="322"/>
    </row>
    <row r="43" spans="1:14" x14ac:dyDescent="0.2">
      <c r="A43" s="7" t="s">
        <v>387</v>
      </c>
      <c r="F43" s="75" t="s">
        <v>68</v>
      </c>
      <c r="J43" s="3"/>
      <c r="L43" s="157"/>
      <c r="M43" s="322"/>
      <c r="N43" s="322"/>
    </row>
    <row r="44" spans="1:14" x14ac:dyDescent="0.2">
      <c r="A44" s="7" t="s">
        <v>436</v>
      </c>
      <c r="E44" s="97">
        <v>5</v>
      </c>
      <c r="F44" s="7" t="s">
        <v>69</v>
      </c>
      <c r="J44" s="3"/>
      <c r="K44" s="157"/>
      <c r="L44" s="322"/>
      <c r="M44" s="322"/>
    </row>
    <row r="45" spans="1:14" x14ac:dyDescent="0.2">
      <c r="A45" s="7" t="s">
        <v>42</v>
      </c>
      <c r="E45" s="99">
        <v>0.75</v>
      </c>
      <c r="F45" s="7" t="s">
        <v>64</v>
      </c>
      <c r="J45" s="99">
        <v>25</v>
      </c>
      <c r="K45" s="157"/>
      <c r="L45" s="322"/>
      <c r="M45" s="322"/>
    </row>
    <row r="46" spans="1:14" x14ac:dyDescent="0.2">
      <c r="A46" s="7" t="s">
        <v>21</v>
      </c>
      <c r="F46" s="7" t="s">
        <v>70</v>
      </c>
      <c r="J46" s="99">
        <v>25</v>
      </c>
      <c r="K46" s="157"/>
      <c r="L46" s="322"/>
      <c r="M46" s="322"/>
    </row>
    <row r="47" spans="1:14" x14ac:dyDescent="0.2">
      <c r="A47" s="7" t="s">
        <v>436</v>
      </c>
      <c r="E47" s="97">
        <v>3</v>
      </c>
      <c r="F47" s="7" t="s">
        <v>71</v>
      </c>
      <c r="J47" s="99">
        <v>40</v>
      </c>
      <c r="K47" s="157"/>
      <c r="L47" s="322"/>
      <c r="M47" s="322"/>
    </row>
    <row r="48" spans="1:14" x14ac:dyDescent="0.2">
      <c r="A48" s="7" t="s">
        <v>42</v>
      </c>
      <c r="E48" s="97">
        <v>1</v>
      </c>
      <c r="F48" s="7" t="s">
        <v>72</v>
      </c>
      <c r="J48" s="3"/>
      <c r="K48" s="157"/>
      <c r="L48" s="322"/>
      <c r="M48" s="322"/>
    </row>
    <row r="49" spans="1:14" ht="15.75" x14ac:dyDescent="0.25">
      <c r="A49" s="18" t="s">
        <v>430</v>
      </c>
      <c r="E49" s="97"/>
      <c r="F49" s="7" t="s">
        <v>394</v>
      </c>
      <c r="J49" s="170">
        <f>16+2/3</f>
        <v>16.666666666666668</v>
      </c>
      <c r="K49" s="157"/>
      <c r="L49" s="322"/>
      <c r="M49" s="322"/>
    </row>
    <row r="50" spans="1:14" x14ac:dyDescent="0.2">
      <c r="A50" s="7" t="s">
        <v>433</v>
      </c>
      <c r="E50" s="97"/>
      <c r="F50" s="7" t="s">
        <v>395</v>
      </c>
      <c r="J50" s="99">
        <v>5</v>
      </c>
      <c r="K50" s="157"/>
      <c r="L50" s="322"/>
      <c r="M50" s="322"/>
    </row>
    <row r="51" spans="1:14" x14ac:dyDescent="0.2">
      <c r="A51" s="7" t="s">
        <v>436</v>
      </c>
      <c r="E51" s="97">
        <v>5</v>
      </c>
      <c r="F51" s="75" t="s">
        <v>73</v>
      </c>
      <c r="J51" s="99">
        <v>5</v>
      </c>
      <c r="K51" s="157"/>
      <c r="L51" s="322"/>
      <c r="M51" s="322"/>
    </row>
    <row r="52" spans="1:14" x14ac:dyDescent="0.2">
      <c r="A52" s="7" t="s">
        <v>411</v>
      </c>
      <c r="E52" s="97">
        <v>1</v>
      </c>
      <c r="F52" s="75" t="s">
        <v>298</v>
      </c>
      <c r="J52" s="99">
        <v>5.6</v>
      </c>
      <c r="K52" s="157"/>
      <c r="L52" s="322"/>
      <c r="M52" s="322"/>
    </row>
    <row r="53" spans="1:14" ht="15.75" x14ac:dyDescent="0.25">
      <c r="A53" t="s">
        <v>431</v>
      </c>
      <c r="E53" s="97">
        <v>2</v>
      </c>
      <c r="F53" s="216" t="s">
        <v>581</v>
      </c>
      <c r="K53" s="157"/>
      <c r="L53" s="63"/>
      <c r="M53" s="63"/>
    </row>
    <row r="54" spans="1:14" x14ac:dyDescent="0.2">
      <c r="A54" s="7" t="s">
        <v>406</v>
      </c>
      <c r="B54" s="191"/>
      <c r="E54" s="99"/>
      <c r="H54" s="3"/>
      <c r="I54" s="3"/>
      <c r="J54" s="3" t="s">
        <v>374</v>
      </c>
      <c r="K54" s="157"/>
      <c r="L54" s="217"/>
      <c r="M54" s="217"/>
    </row>
    <row r="55" spans="1:14" x14ac:dyDescent="0.2">
      <c r="A55" s="7" t="s">
        <v>375</v>
      </c>
      <c r="E55" s="221">
        <v>15</v>
      </c>
      <c r="H55" s="3" t="s">
        <v>399</v>
      </c>
      <c r="I55" s="3" t="s">
        <v>400</v>
      </c>
      <c r="J55" s="3" t="s">
        <v>401</v>
      </c>
      <c r="K55" s="157"/>
      <c r="L55" s="217"/>
      <c r="M55" s="217"/>
    </row>
    <row r="56" spans="1:14" x14ac:dyDescent="0.2">
      <c r="A56" s="7" t="s">
        <v>432</v>
      </c>
      <c r="E56" s="99">
        <v>0.02</v>
      </c>
      <c r="F56" t="s">
        <v>405</v>
      </c>
      <c r="H56" s="99">
        <v>40</v>
      </c>
      <c r="I56" s="99">
        <v>70</v>
      </c>
      <c r="J56" s="99">
        <v>100</v>
      </c>
      <c r="K56" s="157"/>
      <c r="L56" s="217"/>
      <c r="M56" s="217"/>
    </row>
    <row r="57" spans="1:14" x14ac:dyDescent="0.2">
      <c r="A57" s="252" t="s">
        <v>457</v>
      </c>
      <c r="F57" t="s">
        <v>404</v>
      </c>
      <c r="H57" s="99">
        <v>10</v>
      </c>
      <c r="I57" s="99">
        <v>10</v>
      </c>
      <c r="J57" s="99">
        <v>20</v>
      </c>
      <c r="K57" s="157"/>
      <c r="L57" s="217"/>
      <c r="M57" s="217"/>
    </row>
    <row r="58" spans="1:14" x14ac:dyDescent="0.2">
      <c r="A58" s="252" t="s">
        <v>458</v>
      </c>
      <c r="E58" s="97">
        <v>20</v>
      </c>
      <c r="F58" t="s">
        <v>409</v>
      </c>
      <c r="H58" s="99">
        <v>50</v>
      </c>
      <c r="I58" s="99">
        <v>70</v>
      </c>
      <c r="J58" s="99">
        <v>200</v>
      </c>
      <c r="K58" s="157"/>
      <c r="L58" s="217"/>
      <c r="M58" s="217"/>
    </row>
    <row r="59" spans="1:14" ht="15.75" x14ac:dyDescent="0.25">
      <c r="A59" s="7" t="s">
        <v>382</v>
      </c>
      <c r="F59" t="s">
        <v>483</v>
      </c>
      <c r="H59" s="99">
        <v>15</v>
      </c>
      <c r="I59" s="99">
        <v>15</v>
      </c>
      <c r="J59" s="99">
        <v>15</v>
      </c>
      <c r="K59" s="216"/>
      <c r="L59" s="216"/>
      <c r="M59" s="218"/>
    </row>
    <row r="60" spans="1:14" x14ac:dyDescent="0.2">
      <c r="A60" s="7" t="s">
        <v>392</v>
      </c>
      <c r="E60" s="97">
        <v>7</v>
      </c>
      <c r="F60" t="s">
        <v>462</v>
      </c>
      <c r="J60" s="99">
        <v>100</v>
      </c>
      <c r="K60" s="157"/>
      <c r="L60" s="157"/>
      <c r="M60" s="157"/>
    </row>
    <row r="61" spans="1:14" ht="15.75" x14ac:dyDescent="0.25">
      <c r="A61" s="7" t="s">
        <v>45</v>
      </c>
      <c r="E61" s="97">
        <v>30</v>
      </c>
      <c r="F61" s="18" t="s">
        <v>403</v>
      </c>
      <c r="H61" s="3"/>
      <c r="I61" s="3"/>
      <c r="J61" s="3" t="s">
        <v>374</v>
      </c>
      <c r="K61" s="157"/>
      <c r="L61" s="157"/>
      <c r="M61" s="157"/>
    </row>
    <row r="62" spans="1:14" ht="15.75" x14ac:dyDescent="0.25">
      <c r="A62" s="348" t="s">
        <v>564</v>
      </c>
      <c r="B62" s="348"/>
      <c r="C62" s="348"/>
      <c r="D62" s="346"/>
      <c r="E62" s="347"/>
      <c r="H62" s="3" t="s">
        <v>399</v>
      </c>
      <c r="I62" s="3" t="s">
        <v>400</v>
      </c>
      <c r="J62" s="3" t="s">
        <v>401</v>
      </c>
      <c r="N62" s="20"/>
    </row>
    <row r="63" spans="1:14" x14ac:dyDescent="0.2">
      <c r="A63" s="515" t="s">
        <v>495</v>
      </c>
      <c r="B63" s="515"/>
      <c r="C63" s="515"/>
      <c r="D63" s="287"/>
      <c r="E63" s="341" t="s">
        <v>565</v>
      </c>
      <c r="F63" t="s">
        <v>481</v>
      </c>
      <c r="H63" s="99">
        <v>30</v>
      </c>
      <c r="I63" s="99">
        <v>80</v>
      </c>
      <c r="J63" s="99">
        <v>120</v>
      </c>
    </row>
    <row r="64" spans="1:14" x14ac:dyDescent="0.2">
      <c r="A64" s="285" t="s">
        <v>556</v>
      </c>
      <c r="E64" s="271">
        <v>1.0665599999999995</v>
      </c>
      <c r="F64" s="260" t="s">
        <v>479</v>
      </c>
      <c r="H64" s="99">
        <v>40</v>
      </c>
      <c r="I64" s="99">
        <v>40</v>
      </c>
      <c r="J64" s="99">
        <v>40</v>
      </c>
      <c r="N64" s="3"/>
    </row>
    <row r="65" spans="1:16" x14ac:dyDescent="0.2">
      <c r="A65" s="285" t="s">
        <v>557</v>
      </c>
      <c r="E65" s="271">
        <v>1.8664799999999968</v>
      </c>
      <c r="F65" s="252" t="s">
        <v>583</v>
      </c>
      <c r="H65" s="99">
        <v>20</v>
      </c>
      <c r="I65" s="99">
        <v>20</v>
      </c>
      <c r="J65" s="99">
        <v>20</v>
      </c>
      <c r="N65" s="20"/>
    </row>
    <row r="66" spans="1:16" x14ac:dyDescent="0.2">
      <c r="A66" s="285" t="s">
        <v>637</v>
      </c>
      <c r="E66" s="271">
        <v>3.8763999999999954</v>
      </c>
      <c r="F66" t="s">
        <v>497</v>
      </c>
      <c r="H66" s="133"/>
      <c r="I66" s="133"/>
      <c r="J66" s="99">
        <v>100</v>
      </c>
      <c r="K66" s="106"/>
      <c r="L66" s="106"/>
      <c r="M66" s="106"/>
      <c r="N66" s="106"/>
      <c r="O66" s="106"/>
    </row>
    <row r="67" spans="1:16" x14ac:dyDescent="0.2">
      <c r="A67" s="285" t="s">
        <v>555</v>
      </c>
      <c r="E67" s="345">
        <v>1.5325199999999901</v>
      </c>
      <c r="F67" s="278" t="s">
        <v>543</v>
      </c>
      <c r="G67" s="278"/>
      <c r="H67" s="278"/>
      <c r="K67" s="106"/>
      <c r="L67" s="106"/>
      <c r="M67" s="106"/>
      <c r="N67" s="106"/>
      <c r="O67" s="106"/>
      <c r="P67" s="106"/>
    </row>
    <row r="68" spans="1:16" x14ac:dyDescent="0.2">
      <c r="A68" s="349" t="s">
        <v>638</v>
      </c>
      <c r="B68" s="278"/>
      <c r="C68" s="278"/>
      <c r="D68" s="278"/>
      <c r="E68" s="278"/>
      <c r="F68" s="279" t="s">
        <v>480</v>
      </c>
      <c r="G68" s="278"/>
      <c r="K68" s="225"/>
      <c r="L68" s="106"/>
      <c r="M68" s="106"/>
      <c r="N68" s="106"/>
      <c r="O68" s="102"/>
      <c r="P68" s="76"/>
    </row>
    <row r="69" spans="1:16" ht="20.25" x14ac:dyDescent="0.3">
      <c r="A69" s="351" t="s">
        <v>46</v>
      </c>
      <c r="B69" s="350"/>
      <c r="C69" s="350"/>
      <c r="D69" s="350"/>
      <c r="E69" s="350"/>
      <c r="F69" s="350"/>
      <c r="G69" s="350"/>
      <c r="H69" s="350"/>
      <c r="I69" s="350"/>
      <c r="J69" s="350"/>
      <c r="K69" s="226"/>
      <c r="L69" s="106"/>
      <c r="M69" s="106"/>
      <c r="N69" s="106"/>
      <c r="O69" s="102"/>
      <c r="P69" s="48"/>
    </row>
    <row r="70" spans="1:16" x14ac:dyDescent="0.2">
      <c r="A70" s="10"/>
      <c r="B70" s="10"/>
      <c r="C70" s="10"/>
      <c r="D70" s="67" t="s">
        <v>25</v>
      </c>
      <c r="E70" s="68"/>
      <c r="F70" s="10"/>
      <c r="G70" s="10"/>
      <c r="H70" s="10"/>
      <c r="I70" s="67" t="s">
        <v>25</v>
      </c>
      <c r="J70" s="68"/>
      <c r="K70" s="226"/>
      <c r="L70" s="106"/>
      <c r="M70" s="106"/>
      <c r="N70" s="106"/>
      <c r="O70" s="102"/>
      <c r="P70" s="48"/>
    </row>
    <row r="71" spans="1:16" x14ac:dyDescent="0.2">
      <c r="A71" s="69" t="s">
        <v>47</v>
      </c>
      <c r="B71" s="56"/>
      <c r="C71" s="56"/>
      <c r="D71" s="70" t="s">
        <v>48</v>
      </c>
      <c r="E71" s="56" t="s">
        <v>27</v>
      </c>
      <c r="F71" s="69" t="s">
        <v>47</v>
      </c>
      <c r="G71" s="56"/>
      <c r="H71" s="56"/>
      <c r="I71" s="70" t="s">
        <v>48</v>
      </c>
      <c r="J71" s="56" t="s">
        <v>27</v>
      </c>
      <c r="K71" s="226"/>
      <c r="L71" s="106"/>
      <c r="M71" s="106"/>
      <c r="N71" s="106"/>
      <c r="O71" s="102"/>
      <c r="P71" s="226"/>
    </row>
    <row r="72" spans="1:16" ht="15.75" x14ac:dyDescent="0.25">
      <c r="A72" s="5" t="s">
        <v>49</v>
      </c>
      <c r="B72" s="5"/>
      <c r="C72" s="5"/>
      <c r="E72" s="71"/>
      <c r="F72" s="5" t="s">
        <v>362</v>
      </c>
      <c r="K72" s="227"/>
      <c r="L72" s="106"/>
      <c r="M72" s="106"/>
      <c r="N72" s="106"/>
      <c r="O72" s="102"/>
      <c r="P72" s="226"/>
    </row>
    <row r="73" spans="1:16" x14ac:dyDescent="0.2">
      <c r="A73" s="7" t="s">
        <v>50</v>
      </c>
      <c r="B73" s="7"/>
      <c r="C73" s="7"/>
      <c r="D73" s="14"/>
      <c r="E73" s="71"/>
      <c r="F73" s="7" t="s">
        <v>275</v>
      </c>
      <c r="G73" s="7"/>
      <c r="H73" s="7"/>
      <c r="I73" s="10"/>
      <c r="J73" s="71"/>
      <c r="K73" s="106"/>
      <c r="L73" s="106"/>
      <c r="M73" s="133"/>
      <c r="N73" s="106"/>
      <c r="O73" s="106"/>
      <c r="P73" s="106"/>
    </row>
    <row r="74" spans="1:16" ht="12.75" customHeight="1" x14ac:dyDescent="0.2">
      <c r="A74" s="7" t="s">
        <v>51</v>
      </c>
      <c r="B74" s="7"/>
      <c r="C74" s="7"/>
      <c r="D74" s="100">
        <v>14400</v>
      </c>
      <c r="E74" s="97">
        <v>0.4</v>
      </c>
      <c r="F74" s="7" t="s">
        <v>167</v>
      </c>
      <c r="G74" s="7"/>
      <c r="H74" s="7"/>
      <c r="I74" s="10"/>
      <c r="J74" s="71"/>
      <c r="K74" s="106"/>
      <c r="L74" s="106"/>
      <c r="M74" s="133"/>
      <c r="N74" s="106"/>
      <c r="O74" s="106"/>
      <c r="P74" s="106"/>
    </row>
    <row r="75" spans="1:16" ht="12.75" customHeight="1" x14ac:dyDescent="0.2">
      <c r="A75" s="7" t="s">
        <v>53</v>
      </c>
      <c r="B75" s="7"/>
      <c r="C75" s="7"/>
      <c r="D75" s="84">
        <v>3.6</v>
      </c>
      <c r="E75" s="97">
        <v>0.6</v>
      </c>
      <c r="F75" s="7" t="s">
        <v>224</v>
      </c>
      <c r="G75" s="7"/>
      <c r="H75" s="7"/>
      <c r="I75" s="164">
        <v>40</v>
      </c>
      <c r="J75" s="165">
        <v>0.3</v>
      </c>
      <c r="K75" s="106"/>
      <c r="L75" s="106"/>
      <c r="M75" s="133"/>
      <c r="N75" s="133"/>
      <c r="O75" s="106"/>
      <c r="P75" s="106"/>
    </row>
    <row r="76" spans="1:16" x14ac:dyDescent="0.2">
      <c r="A76" s="7" t="s">
        <v>54</v>
      </c>
      <c r="B76" s="7"/>
      <c r="C76" s="7"/>
      <c r="D76" s="100">
        <v>900</v>
      </c>
      <c r="E76" s="97">
        <v>0.5</v>
      </c>
      <c r="F76" s="7" t="s">
        <v>51</v>
      </c>
      <c r="G76" s="7"/>
      <c r="H76" s="7"/>
      <c r="I76" s="101">
        <v>36000</v>
      </c>
      <c r="J76" s="97">
        <v>0.7</v>
      </c>
      <c r="K76" s="106"/>
      <c r="L76" s="174"/>
      <c r="M76" s="133"/>
      <c r="N76" s="133"/>
      <c r="O76" s="106"/>
      <c r="P76" s="106"/>
    </row>
    <row r="77" spans="1:16" x14ac:dyDescent="0.2">
      <c r="A77" s="5" t="s">
        <v>55</v>
      </c>
      <c r="B77" s="5"/>
      <c r="C77" s="5"/>
      <c r="D77" s="73"/>
      <c r="E77" s="71"/>
      <c r="F77" s="7" t="s">
        <v>53</v>
      </c>
      <c r="G77" s="7"/>
      <c r="H77" s="7"/>
      <c r="I77" s="132">
        <v>4</v>
      </c>
      <c r="J77" s="97">
        <v>0.8</v>
      </c>
      <c r="K77" s="106"/>
      <c r="L77" s="157"/>
      <c r="M77" s="157"/>
      <c r="N77" s="157"/>
      <c r="O77" s="106"/>
      <c r="P77" s="106"/>
    </row>
    <row r="78" spans="1:16" x14ac:dyDescent="0.2">
      <c r="A78" s="7" t="s">
        <v>218</v>
      </c>
      <c r="B78" s="7"/>
      <c r="C78" s="7"/>
      <c r="D78" s="73"/>
      <c r="E78" s="71"/>
      <c r="F78" s="7" t="s">
        <v>54</v>
      </c>
      <c r="G78" s="7"/>
      <c r="H78" s="7"/>
      <c r="I78" s="101">
        <v>600</v>
      </c>
      <c r="J78" s="97">
        <v>0.8</v>
      </c>
      <c r="K78" s="106"/>
      <c r="L78" s="157"/>
      <c r="M78" s="157"/>
      <c r="N78" s="157"/>
      <c r="O78" s="106"/>
      <c r="P78" s="106"/>
    </row>
    <row r="79" spans="1:16" x14ac:dyDescent="0.2">
      <c r="A79" s="7" t="s">
        <v>57</v>
      </c>
      <c r="B79" s="7"/>
      <c r="C79" s="7"/>
      <c r="D79" s="73"/>
      <c r="E79" s="71"/>
      <c r="F79" s="7" t="s">
        <v>170</v>
      </c>
      <c r="G79" s="7"/>
      <c r="H79" s="7"/>
      <c r="I79" s="10"/>
      <c r="J79" s="71"/>
      <c r="K79" s="106"/>
      <c r="L79" s="157"/>
      <c r="M79" s="157"/>
      <c r="N79" s="157"/>
      <c r="O79" s="106"/>
      <c r="P79" s="106"/>
    </row>
    <row r="80" spans="1:16" x14ac:dyDescent="0.2">
      <c r="A80" s="7" t="s">
        <v>166</v>
      </c>
      <c r="B80" s="7"/>
      <c r="C80" s="7"/>
      <c r="D80" s="73"/>
      <c r="E80" s="71"/>
      <c r="F80" s="7" t="s">
        <v>167</v>
      </c>
      <c r="G80" s="7"/>
      <c r="H80" s="7"/>
      <c r="I80" s="10"/>
      <c r="J80" s="71"/>
      <c r="K80" s="106"/>
      <c r="L80" s="157"/>
      <c r="M80" s="157"/>
      <c r="N80" s="157"/>
      <c r="O80" s="106"/>
      <c r="P80" s="106"/>
    </row>
    <row r="81" spans="1:16" x14ac:dyDescent="0.2">
      <c r="A81" s="7" t="s">
        <v>51</v>
      </c>
      <c r="B81" s="7"/>
      <c r="C81" s="7"/>
      <c r="D81" s="101">
        <v>14400</v>
      </c>
      <c r="E81" s="97">
        <v>0.5</v>
      </c>
      <c r="F81" s="7" t="s">
        <v>51</v>
      </c>
      <c r="G81" s="7"/>
      <c r="H81" s="7"/>
      <c r="I81" s="101">
        <v>36000</v>
      </c>
      <c r="J81" s="97">
        <v>0.7</v>
      </c>
      <c r="K81" s="106"/>
      <c r="L81" s="157"/>
      <c r="M81" s="157"/>
      <c r="N81" s="157"/>
      <c r="O81" s="106"/>
      <c r="P81" s="106"/>
    </row>
    <row r="82" spans="1:16" ht="15.75" x14ac:dyDescent="0.25">
      <c r="A82" s="7" t="s">
        <v>53</v>
      </c>
      <c r="B82" s="7"/>
      <c r="C82" s="7"/>
      <c r="D82" s="132">
        <v>2</v>
      </c>
      <c r="E82" s="97">
        <v>0.7</v>
      </c>
      <c r="F82" s="7" t="s">
        <v>53</v>
      </c>
      <c r="G82" s="7"/>
      <c r="H82" s="7"/>
      <c r="I82" s="132">
        <v>4</v>
      </c>
      <c r="J82" s="97">
        <v>0.8</v>
      </c>
      <c r="K82" s="225"/>
      <c r="L82" s="227"/>
      <c r="M82" s="227"/>
      <c r="N82" s="227"/>
      <c r="O82" s="227"/>
      <c r="P82" s="227"/>
    </row>
    <row r="83" spans="1:16" x14ac:dyDescent="0.2">
      <c r="A83" s="7" t="s">
        <v>54</v>
      </c>
      <c r="B83" s="7"/>
      <c r="C83" s="7"/>
      <c r="D83" s="101">
        <v>600</v>
      </c>
      <c r="E83" s="97">
        <v>0.6</v>
      </c>
      <c r="F83" s="7" t="s">
        <v>54</v>
      </c>
      <c r="G83" s="7"/>
      <c r="H83" s="7"/>
      <c r="I83" s="101">
        <v>600</v>
      </c>
      <c r="J83" s="97">
        <v>0.8</v>
      </c>
      <c r="K83" s="106"/>
      <c r="L83" s="106"/>
      <c r="M83" s="106"/>
      <c r="N83" s="106"/>
      <c r="O83" s="106"/>
      <c r="P83" s="133"/>
    </row>
    <row r="84" spans="1:16" x14ac:dyDescent="0.2">
      <c r="A84" s="7" t="s">
        <v>168</v>
      </c>
      <c r="B84" s="7"/>
      <c r="C84" s="7"/>
      <c r="D84" s="73"/>
      <c r="E84" s="71"/>
      <c r="F84" s="7" t="s">
        <v>219</v>
      </c>
      <c r="G84" s="7"/>
      <c r="H84" s="7"/>
      <c r="I84" s="10"/>
      <c r="J84" s="71"/>
      <c r="K84" s="106"/>
      <c r="L84" s="106"/>
      <c r="M84" s="106"/>
      <c r="N84" s="106"/>
      <c r="O84" s="106"/>
      <c r="P84" s="133"/>
    </row>
    <row r="85" spans="1:16" x14ac:dyDescent="0.2">
      <c r="A85" s="7" t="s">
        <v>169</v>
      </c>
      <c r="B85" s="7"/>
      <c r="C85" s="7"/>
      <c r="D85" s="73"/>
      <c r="E85" s="71"/>
      <c r="F85" s="7" t="s">
        <v>167</v>
      </c>
      <c r="G85" s="7"/>
      <c r="H85" s="7"/>
      <c r="I85" s="10"/>
      <c r="J85" s="71"/>
      <c r="K85" s="106"/>
      <c r="L85" s="106"/>
      <c r="M85" s="106"/>
      <c r="N85" s="106"/>
      <c r="O85" s="106"/>
      <c r="P85" s="133"/>
    </row>
    <row r="86" spans="1:16" x14ac:dyDescent="0.2">
      <c r="A86" s="7" t="s">
        <v>51</v>
      </c>
      <c r="B86" s="7"/>
      <c r="C86" s="7"/>
      <c r="D86" s="101">
        <v>14400</v>
      </c>
      <c r="E86" s="97">
        <v>0.5</v>
      </c>
      <c r="F86" s="7" t="s">
        <v>51</v>
      </c>
      <c r="G86" s="7"/>
      <c r="H86" s="7"/>
      <c r="I86" s="101">
        <v>21600</v>
      </c>
      <c r="J86" s="97">
        <v>0.5</v>
      </c>
      <c r="K86" s="106"/>
      <c r="L86" s="106"/>
      <c r="M86" s="106"/>
      <c r="N86" s="106"/>
      <c r="O86" s="106"/>
      <c r="P86" s="133"/>
    </row>
    <row r="87" spans="1:16" x14ac:dyDescent="0.2">
      <c r="A87" s="7" t="s">
        <v>53</v>
      </c>
      <c r="B87" s="7"/>
      <c r="C87" s="7"/>
      <c r="D87" s="132">
        <v>2</v>
      </c>
      <c r="E87" s="97">
        <v>0.7</v>
      </c>
      <c r="F87" s="7" t="s">
        <v>53</v>
      </c>
      <c r="G87" s="7"/>
      <c r="H87" s="7"/>
      <c r="I87" s="132">
        <v>3</v>
      </c>
      <c r="J87" s="97">
        <v>0.7</v>
      </c>
      <c r="K87" s="106"/>
      <c r="L87" s="106"/>
      <c r="M87" s="106"/>
      <c r="N87" s="106"/>
      <c r="O87" s="106"/>
      <c r="P87" s="133"/>
    </row>
    <row r="88" spans="1:16" x14ac:dyDescent="0.2">
      <c r="A88" s="7" t="s">
        <v>54</v>
      </c>
      <c r="B88" s="7"/>
      <c r="C88" s="7"/>
      <c r="D88" s="101">
        <v>600</v>
      </c>
      <c r="E88" s="97">
        <v>0.6</v>
      </c>
      <c r="F88" s="7" t="s">
        <v>54</v>
      </c>
      <c r="G88" s="7"/>
      <c r="H88" s="7"/>
      <c r="I88" s="101">
        <v>600</v>
      </c>
      <c r="J88" s="97">
        <v>0.6</v>
      </c>
      <c r="K88" s="225"/>
      <c r="L88" s="106"/>
      <c r="M88" s="106"/>
      <c r="N88" s="106"/>
      <c r="O88" s="106"/>
      <c r="P88" s="133"/>
    </row>
    <row r="89" spans="1:16" x14ac:dyDescent="0.2">
      <c r="A89" s="7" t="s">
        <v>171</v>
      </c>
      <c r="B89" s="7"/>
      <c r="C89" s="7"/>
      <c r="D89" s="73"/>
      <c r="E89" s="71"/>
      <c r="F89" s="7" t="s">
        <v>172</v>
      </c>
      <c r="G89" s="7"/>
      <c r="H89" s="7"/>
      <c r="I89" s="10"/>
      <c r="J89" s="71"/>
      <c r="K89" s="228"/>
      <c r="L89" s="106"/>
      <c r="M89" s="106"/>
      <c r="N89" s="106"/>
      <c r="O89" s="106"/>
      <c r="P89" s="133"/>
    </row>
    <row r="90" spans="1:16" x14ac:dyDescent="0.2">
      <c r="A90" s="7" t="s">
        <v>57</v>
      </c>
      <c r="B90" s="7"/>
      <c r="C90" s="7"/>
      <c r="D90" s="206"/>
      <c r="E90" s="71"/>
      <c r="F90" s="7" t="s">
        <v>167</v>
      </c>
      <c r="G90" s="7"/>
      <c r="H90" s="7"/>
      <c r="I90" s="10"/>
      <c r="J90" s="71"/>
      <c r="K90" s="106"/>
      <c r="L90" s="106"/>
      <c r="M90" s="106"/>
      <c r="N90" s="106"/>
      <c r="O90" s="106"/>
      <c r="P90" s="133"/>
    </row>
    <row r="91" spans="1:16" x14ac:dyDescent="0.2">
      <c r="A91" s="7" t="s">
        <v>52</v>
      </c>
      <c r="B91" s="7"/>
      <c r="C91" s="7"/>
      <c r="D91" s="73"/>
      <c r="E91" s="71"/>
      <c r="F91" s="7" t="s">
        <v>51</v>
      </c>
      <c r="G91" s="7"/>
      <c r="H91" s="7"/>
      <c r="I91" s="101">
        <v>36000</v>
      </c>
      <c r="J91" s="97">
        <v>0.5</v>
      </c>
      <c r="K91" s="106"/>
      <c r="L91" s="106"/>
      <c r="M91" s="106"/>
      <c r="N91" s="106"/>
      <c r="O91" s="106"/>
      <c r="P91" s="133"/>
    </row>
    <row r="92" spans="1:16" ht="14.25" x14ac:dyDescent="0.2">
      <c r="A92" s="252" t="s">
        <v>491</v>
      </c>
      <c r="B92" s="7"/>
      <c r="C92" s="7"/>
      <c r="D92" s="281">
        <f>J25/J22</f>
        <v>0.28127792478399444</v>
      </c>
      <c r="E92" s="97"/>
      <c r="F92" s="7" t="s">
        <v>53</v>
      </c>
      <c r="G92" s="7"/>
      <c r="H92" s="7"/>
      <c r="I92" s="132">
        <v>5</v>
      </c>
      <c r="J92" s="97">
        <v>0.7</v>
      </c>
      <c r="K92" s="106"/>
      <c r="L92" s="106"/>
      <c r="M92" s="106"/>
      <c r="N92" s="106"/>
      <c r="O92" s="106"/>
      <c r="P92" s="133"/>
    </row>
    <row r="93" spans="1:16" x14ac:dyDescent="0.2">
      <c r="A93" s="7" t="s">
        <v>51</v>
      </c>
      <c r="B93" s="7"/>
      <c r="C93" s="7"/>
      <c r="D93" s="205">
        <v>28800</v>
      </c>
      <c r="E93" s="97">
        <v>0.5</v>
      </c>
      <c r="F93" s="7" t="s">
        <v>54</v>
      </c>
      <c r="G93" s="7"/>
      <c r="H93" s="7"/>
      <c r="I93" s="101">
        <v>900</v>
      </c>
      <c r="J93" s="97">
        <v>0.6</v>
      </c>
      <c r="K93" s="226"/>
      <c r="L93" s="106"/>
      <c r="M93" s="106"/>
      <c r="N93" s="106"/>
      <c r="O93" s="106"/>
      <c r="P93" s="133"/>
    </row>
    <row r="94" spans="1:16" x14ac:dyDescent="0.2">
      <c r="A94" s="7" t="s">
        <v>53</v>
      </c>
      <c r="B94" s="7"/>
      <c r="C94" s="7"/>
      <c r="D94" s="132">
        <v>8</v>
      </c>
      <c r="E94" s="97">
        <v>0.8</v>
      </c>
      <c r="F94" s="7" t="s">
        <v>299</v>
      </c>
      <c r="K94" s="228"/>
      <c r="L94" s="106"/>
      <c r="M94" s="106"/>
      <c r="N94" s="106"/>
      <c r="O94" s="106"/>
      <c r="P94" s="133"/>
    </row>
    <row r="95" spans="1:16" x14ac:dyDescent="0.2">
      <c r="A95" s="7" t="s">
        <v>54</v>
      </c>
      <c r="B95" s="7"/>
      <c r="C95" s="7"/>
      <c r="D95" s="101">
        <v>750</v>
      </c>
      <c r="E95" s="97">
        <v>0.8</v>
      </c>
      <c r="F95" s="7" t="s">
        <v>363</v>
      </c>
      <c r="K95" s="226"/>
      <c r="L95" s="106"/>
      <c r="M95" s="106"/>
      <c r="N95" s="106"/>
      <c r="O95" s="106"/>
      <c r="P95" s="133"/>
    </row>
    <row r="96" spans="1:16" x14ac:dyDescent="0.2">
      <c r="A96" s="7" t="s">
        <v>168</v>
      </c>
      <c r="B96" s="7"/>
      <c r="C96" s="191"/>
      <c r="E96" s="206"/>
      <c r="F96" s="7" t="s">
        <v>51</v>
      </c>
      <c r="G96" s="7"/>
      <c r="H96" s="7"/>
      <c r="I96" s="101">
        <v>14400</v>
      </c>
      <c r="J96" s="97">
        <v>0.4</v>
      </c>
      <c r="K96" s="226"/>
      <c r="L96" s="106"/>
      <c r="M96" s="106"/>
      <c r="N96" s="106"/>
      <c r="O96" s="106"/>
      <c r="P96" s="133"/>
    </row>
    <row r="97" spans="1:20" x14ac:dyDescent="0.2">
      <c r="A97" s="7" t="s">
        <v>52</v>
      </c>
      <c r="B97" s="7"/>
      <c r="C97" s="7"/>
      <c r="D97" s="73"/>
      <c r="E97" s="71"/>
      <c r="F97" s="7" t="s">
        <v>53</v>
      </c>
      <c r="G97" s="7"/>
      <c r="H97" s="7"/>
      <c r="I97" s="132">
        <v>20</v>
      </c>
      <c r="J97" s="97">
        <v>0.6</v>
      </c>
      <c r="K97" s="226"/>
      <c r="L97" s="106"/>
      <c r="M97" s="106"/>
      <c r="N97" s="106"/>
      <c r="O97" s="106"/>
      <c r="P97" s="133"/>
      <c r="Q97" s="39"/>
      <c r="R97" s="136"/>
      <c r="S97" s="93"/>
    </row>
    <row r="98" spans="1:20" ht="14.25" x14ac:dyDescent="0.2">
      <c r="A98" s="252" t="s">
        <v>491</v>
      </c>
      <c r="B98" s="7"/>
      <c r="C98" s="7"/>
      <c r="D98" s="281">
        <f>J26/J22</f>
        <v>0.18602721768598535</v>
      </c>
      <c r="E98" s="97"/>
      <c r="F98" s="7" t="s">
        <v>54</v>
      </c>
      <c r="G98" s="7"/>
      <c r="H98" s="7"/>
      <c r="I98" s="101">
        <v>100</v>
      </c>
      <c r="J98" s="97">
        <v>0.4</v>
      </c>
      <c r="K98" s="226"/>
      <c r="L98" s="106"/>
      <c r="M98" s="106"/>
      <c r="N98" s="106"/>
      <c r="O98" s="106"/>
      <c r="P98" s="133"/>
      <c r="Q98" s="39"/>
      <c r="R98" s="136"/>
      <c r="S98" s="93"/>
    </row>
    <row r="99" spans="1:20" x14ac:dyDescent="0.2">
      <c r="A99" s="7" t="s">
        <v>51</v>
      </c>
      <c r="B99" s="7"/>
      <c r="C99" s="7"/>
      <c r="D99" s="205">
        <v>28800</v>
      </c>
      <c r="E99" s="97">
        <v>0.5</v>
      </c>
      <c r="F99" s="5" t="s">
        <v>58</v>
      </c>
      <c r="G99" s="5"/>
      <c r="H99" s="5"/>
      <c r="I99" s="10"/>
      <c r="J99" s="71"/>
      <c r="K99" s="226"/>
      <c r="L99" s="106"/>
      <c r="M99" s="106"/>
      <c r="N99" s="106"/>
      <c r="O99" s="106"/>
      <c r="P99" s="133"/>
      <c r="Q99" s="39"/>
      <c r="R99" s="136"/>
      <c r="S99" s="93"/>
    </row>
    <row r="100" spans="1:20" x14ac:dyDescent="0.2">
      <c r="A100" s="7" t="s">
        <v>53</v>
      </c>
      <c r="B100" s="7"/>
      <c r="C100" s="7"/>
      <c r="D100" s="132">
        <v>8</v>
      </c>
      <c r="E100" s="97">
        <v>0.8</v>
      </c>
      <c r="F100" s="7" t="s">
        <v>167</v>
      </c>
      <c r="G100" s="7"/>
      <c r="H100" s="7"/>
      <c r="I100" s="10"/>
      <c r="J100" s="71"/>
      <c r="K100" s="226"/>
      <c r="L100" s="106"/>
      <c r="M100" s="106"/>
      <c r="N100" s="106"/>
      <c r="O100" s="106"/>
      <c r="P100" s="133"/>
      <c r="Q100" s="39"/>
      <c r="R100" s="136"/>
      <c r="S100" s="93"/>
      <c r="T100" s="136"/>
    </row>
    <row r="101" spans="1:20" x14ac:dyDescent="0.2">
      <c r="A101" s="7" t="s">
        <v>54</v>
      </c>
      <c r="B101" s="7"/>
      <c r="C101" s="7"/>
      <c r="D101" s="101">
        <v>750</v>
      </c>
      <c r="E101" s="97">
        <v>0.8</v>
      </c>
      <c r="F101" s="7" t="s">
        <v>224</v>
      </c>
      <c r="G101" s="7"/>
      <c r="H101" s="7"/>
      <c r="I101" s="164">
        <v>40</v>
      </c>
      <c r="J101" s="165">
        <v>0.3</v>
      </c>
      <c r="K101" s="226"/>
      <c r="L101" s="106"/>
      <c r="M101" s="106"/>
      <c r="N101" s="106"/>
      <c r="O101" s="106"/>
      <c r="P101" s="133"/>
      <c r="Q101" s="39"/>
      <c r="R101" s="136"/>
      <c r="S101" s="93"/>
    </row>
    <row r="102" spans="1:20" x14ac:dyDescent="0.2">
      <c r="A102" s="7" t="s">
        <v>269</v>
      </c>
      <c r="B102" s="7"/>
      <c r="C102" s="7"/>
      <c r="D102" s="73"/>
      <c r="E102" s="206"/>
      <c r="F102" s="7" t="s">
        <v>51</v>
      </c>
      <c r="G102" s="7"/>
      <c r="H102" s="7"/>
      <c r="I102" s="101">
        <v>57600</v>
      </c>
      <c r="J102" s="97">
        <v>0.7</v>
      </c>
      <c r="K102" s="228"/>
      <c r="L102" s="106"/>
      <c r="M102" s="106"/>
      <c r="N102" s="106"/>
      <c r="O102" s="106"/>
      <c r="P102" s="133"/>
      <c r="Q102" s="39"/>
      <c r="R102" s="136"/>
      <c r="S102" s="93"/>
    </row>
    <row r="103" spans="1:20" x14ac:dyDescent="0.2">
      <c r="A103" s="7" t="s">
        <v>334</v>
      </c>
      <c r="B103" s="7"/>
      <c r="C103" s="7"/>
      <c r="D103" s="166"/>
      <c r="E103" s="102"/>
      <c r="F103" s="7" t="s">
        <v>53</v>
      </c>
      <c r="G103" s="7"/>
      <c r="H103" s="7"/>
      <c r="I103" s="132">
        <v>30</v>
      </c>
      <c r="J103" s="97">
        <v>0.8</v>
      </c>
      <c r="K103" s="228"/>
      <c r="L103" s="106"/>
      <c r="M103" s="106"/>
      <c r="N103" s="106"/>
      <c r="O103" s="106"/>
      <c r="P103" s="133"/>
      <c r="Q103" s="39"/>
      <c r="R103" s="136"/>
      <c r="S103" s="93"/>
    </row>
    <row r="104" spans="1:20" x14ac:dyDescent="0.2">
      <c r="A104" s="7" t="s">
        <v>51</v>
      </c>
      <c r="B104" s="7"/>
      <c r="C104" s="7"/>
      <c r="D104" s="101">
        <v>14400</v>
      </c>
      <c r="E104" s="184">
        <v>0.4</v>
      </c>
      <c r="F104" s="7" t="s">
        <v>54</v>
      </c>
      <c r="G104" s="7"/>
      <c r="H104" s="7"/>
      <c r="I104" s="101">
        <v>2200</v>
      </c>
      <c r="J104" s="97">
        <v>0.8</v>
      </c>
      <c r="K104" s="106"/>
      <c r="L104" s="229"/>
      <c r="M104" s="106"/>
      <c r="N104" s="106"/>
      <c r="O104" s="230"/>
      <c r="P104" s="231"/>
      <c r="Q104" s="39"/>
      <c r="R104" s="136"/>
      <c r="S104" s="93"/>
    </row>
    <row r="105" spans="1:20" x14ac:dyDescent="0.2">
      <c r="A105" s="7" t="s">
        <v>53</v>
      </c>
      <c r="B105" s="7"/>
      <c r="C105" s="7"/>
      <c r="D105" s="132">
        <v>3</v>
      </c>
      <c r="E105" s="184">
        <v>0.6</v>
      </c>
      <c r="F105" s="5" t="s">
        <v>364</v>
      </c>
      <c r="G105" s="5"/>
      <c r="H105" s="5"/>
      <c r="I105" s="10"/>
      <c r="J105" s="72"/>
      <c r="K105" s="106"/>
      <c r="L105" s="229"/>
      <c r="M105" s="106"/>
      <c r="N105" s="106"/>
      <c r="O105" s="230"/>
      <c r="P105" s="231"/>
      <c r="Q105" s="39"/>
      <c r="R105" s="136"/>
      <c r="S105" s="93"/>
    </row>
    <row r="106" spans="1:20" x14ac:dyDescent="0.2">
      <c r="A106" s="7" t="s">
        <v>54</v>
      </c>
      <c r="B106" s="7"/>
      <c r="C106" s="7"/>
      <c r="D106" s="101">
        <v>225</v>
      </c>
      <c r="E106" s="184">
        <v>0.6</v>
      </c>
      <c r="F106" s="7" t="s">
        <v>167</v>
      </c>
      <c r="G106" s="7"/>
      <c r="H106" s="7"/>
      <c r="I106" s="10"/>
      <c r="J106" s="72"/>
      <c r="O106" s="93"/>
      <c r="P106" s="136"/>
      <c r="Q106" s="39"/>
      <c r="R106" s="136"/>
      <c r="S106" s="93"/>
    </row>
    <row r="107" spans="1:20" x14ac:dyDescent="0.2">
      <c r="A107" s="7" t="s">
        <v>216</v>
      </c>
      <c r="B107" s="7"/>
      <c r="C107" s="7"/>
      <c r="D107" s="73"/>
      <c r="E107" s="71"/>
      <c r="F107" s="7" t="s">
        <v>51</v>
      </c>
      <c r="G107" s="7"/>
      <c r="H107" s="7"/>
      <c r="I107" s="101">
        <v>14400</v>
      </c>
      <c r="J107" s="97">
        <v>0.5</v>
      </c>
      <c r="O107" s="93"/>
      <c r="P107" s="136"/>
      <c r="Q107" s="39"/>
      <c r="R107" s="136"/>
      <c r="S107" s="93"/>
      <c r="T107" s="93"/>
    </row>
    <row r="108" spans="1:20" x14ac:dyDescent="0.2">
      <c r="A108" s="7" t="s">
        <v>57</v>
      </c>
      <c r="B108" s="7"/>
      <c r="C108" s="7"/>
      <c r="D108" s="73"/>
      <c r="E108" s="71"/>
      <c r="F108" s="7" t="s">
        <v>53</v>
      </c>
      <c r="G108" s="7"/>
      <c r="H108" s="7"/>
      <c r="I108" s="132">
        <v>2</v>
      </c>
      <c r="J108" s="97">
        <v>0.7</v>
      </c>
      <c r="O108" s="93"/>
      <c r="P108" s="136"/>
      <c r="Q108" s="39"/>
      <c r="R108" s="136"/>
      <c r="S108" s="93"/>
    </row>
    <row r="109" spans="1:20" x14ac:dyDescent="0.2">
      <c r="A109" s="7" t="s">
        <v>52</v>
      </c>
      <c r="B109" s="7"/>
      <c r="C109" s="7"/>
      <c r="D109" s="73"/>
      <c r="E109" s="71"/>
      <c r="F109" s="7" t="s">
        <v>54</v>
      </c>
      <c r="G109" s="7"/>
      <c r="H109" s="7"/>
      <c r="I109" s="101">
        <v>450</v>
      </c>
      <c r="J109" s="97">
        <v>0.6</v>
      </c>
      <c r="O109" s="93"/>
      <c r="P109" s="136"/>
      <c r="Q109" s="39"/>
      <c r="R109" s="136"/>
      <c r="S109" s="93"/>
    </row>
    <row r="110" spans="1:20" x14ac:dyDescent="0.2">
      <c r="A110" s="7" t="s">
        <v>51</v>
      </c>
      <c r="B110" s="7"/>
      <c r="C110" s="7"/>
      <c r="D110" s="101">
        <v>14400</v>
      </c>
      <c r="E110" s="97">
        <v>0.5</v>
      </c>
      <c r="F110" s="5" t="s">
        <v>365</v>
      </c>
      <c r="G110" s="5"/>
      <c r="H110" s="5"/>
      <c r="I110" s="10"/>
      <c r="J110" s="72"/>
      <c r="L110" s="93"/>
      <c r="O110" s="93"/>
      <c r="P110" s="136"/>
      <c r="Q110" s="39"/>
      <c r="R110" s="136"/>
      <c r="S110" s="93"/>
    </row>
    <row r="111" spans="1:20" x14ac:dyDescent="0.2">
      <c r="A111" s="7" t="s">
        <v>53</v>
      </c>
      <c r="B111" s="7"/>
      <c r="C111" s="7"/>
      <c r="D111" s="132">
        <v>1</v>
      </c>
      <c r="E111" s="97">
        <v>0.7</v>
      </c>
      <c r="F111" s="7" t="s">
        <v>167</v>
      </c>
      <c r="G111" s="7"/>
      <c r="H111" s="7"/>
      <c r="I111" s="10"/>
      <c r="J111" s="72"/>
      <c r="L111" s="93"/>
      <c r="O111" s="93"/>
      <c r="P111" s="136"/>
      <c r="Q111" s="39"/>
      <c r="R111" s="136"/>
    </row>
    <row r="112" spans="1:20" x14ac:dyDescent="0.2">
      <c r="A112" s="7" t="s">
        <v>54</v>
      </c>
      <c r="B112" s="7"/>
      <c r="C112" s="7"/>
      <c r="D112" s="101">
        <v>225</v>
      </c>
      <c r="E112" s="97">
        <v>0.6</v>
      </c>
      <c r="F112" s="7" t="s">
        <v>51</v>
      </c>
      <c r="G112" s="7"/>
      <c r="H112" s="7"/>
      <c r="I112" s="101">
        <v>21600</v>
      </c>
      <c r="J112" s="97">
        <v>0.4</v>
      </c>
      <c r="L112" s="93"/>
      <c r="O112" s="93"/>
      <c r="P112" s="136"/>
      <c r="Q112" s="39"/>
      <c r="R112" s="136"/>
      <c r="S112" s="93"/>
    </row>
    <row r="113" spans="1:19" x14ac:dyDescent="0.2">
      <c r="A113" s="7" t="s">
        <v>168</v>
      </c>
      <c r="B113" s="7"/>
      <c r="C113" s="7"/>
      <c r="D113" s="71"/>
      <c r="E113" s="20"/>
      <c r="F113" s="7" t="s">
        <v>53</v>
      </c>
      <c r="G113" s="7"/>
      <c r="H113" s="7"/>
      <c r="I113" s="185">
        <v>4.75</v>
      </c>
      <c r="J113" s="97">
        <v>0.7</v>
      </c>
      <c r="L113" s="93"/>
      <c r="O113" s="93"/>
      <c r="P113" s="136"/>
      <c r="Q113" s="39"/>
      <c r="R113" s="136"/>
      <c r="S113" s="93"/>
    </row>
    <row r="114" spans="1:19" x14ac:dyDescent="0.2">
      <c r="A114" s="7" t="s">
        <v>52</v>
      </c>
      <c r="B114" s="7"/>
      <c r="C114" s="7"/>
      <c r="D114" s="71"/>
      <c r="E114" s="20"/>
      <c r="F114" s="7" t="s">
        <v>54</v>
      </c>
      <c r="G114" s="7"/>
      <c r="H114" s="7"/>
      <c r="I114" s="101">
        <v>900</v>
      </c>
      <c r="J114" s="97">
        <v>0.6</v>
      </c>
      <c r="L114" s="95"/>
      <c r="O114" s="93"/>
      <c r="P114" s="136"/>
      <c r="Q114" s="39"/>
      <c r="R114" s="136"/>
      <c r="S114" s="93"/>
    </row>
    <row r="115" spans="1:19" x14ac:dyDescent="0.2">
      <c r="A115" s="7" t="s">
        <v>51</v>
      </c>
      <c r="B115" s="7"/>
      <c r="C115" s="7"/>
      <c r="D115" s="101">
        <v>7200</v>
      </c>
      <c r="E115" s="97">
        <v>0.5</v>
      </c>
      <c r="F115" s="5" t="s">
        <v>59</v>
      </c>
      <c r="G115" s="5"/>
      <c r="H115" s="5"/>
      <c r="I115" s="10"/>
      <c r="J115" s="72"/>
      <c r="L115" s="93"/>
      <c r="O115" s="93"/>
      <c r="P115" s="136"/>
      <c r="Q115" s="39"/>
      <c r="R115" s="136"/>
      <c r="S115" s="93"/>
    </row>
    <row r="116" spans="1:19" x14ac:dyDescent="0.2">
      <c r="A116" s="7" t="s">
        <v>53</v>
      </c>
      <c r="B116" s="7"/>
      <c r="C116" s="7"/>
      <c r="D116" s="132">
        <v>1</v>
      </c>
      <c r="E116" s="97">
        <v>0.7</v>
      </c>
      <c r="F116" s="7" t="s">
        <v>167</v>
      </c>
      <c r="G116" s="7"/>
      <c r="H116" s="7"/>
      <c r="I116" s="10"/>
      <c r="J116" s="72"/>
      <c r="L116" s="93"/>
      <c r="O116" s="93"/>
      <c r="Q116" s="39"/>
      <c r="S116" s="93"/>
    </row>
    <row r="117" spans="1:19" x14ac:dyDescent="0.2">
      <c r="A117" s="7" t="s">
        <v>54</v>
      </c>
      <c r="B117" s="7"/>
      <c r="C117" s="7"/>
      <c r="D117" s="101">
        <v>225</v>
      </c>
      <c r="E117" s="97">
        <v>0.6</v>
      </c>
      <c r="F117" s="7" t="s">
        <v>51</v>
      </c>
      <c r="G117" s="7"/>
      <c r="H117" s="7"/>
      <c r="I117" s="101">
        <v>43200</v>
      </c>
      <c r="J117" s="97">
        <v>0.5</v>
      </c>
      <c r="L117" s="93"/>
      <c r="O117" s="93"/>
      <c r="P117" s="136"/>
      <c r="Q117" s="39"/>
      <c r="R117" s="136"/>
      <c r="S117" s="93"/>
    </row>
    <row r="118" spans="1:19" x14ac:dyDescent="0.2">
      <c r="A118" s="5" t="s">
        <v>291</v>
      </c>
      <c r="B118" s="5"/>
      <c r="C118" s="5"/>
      <c r="D118" s="10"/>
      <c r="E118" s="72"/>
      <c r="F118" s="7" t="s">
        <v>53</v>
      </c>
      <c r="G118" s="7"/>
      <c r="H118" s="7"/>
      <c r="I118" s="132">
        <v>6</v>
      </c>
      <c r="J118" s="97">
        <v>0.7</v>
      </c>
      <c r="L118" s="93"/>
      <c r="O118" s="93"/>
      <c r="P118" s="136"/>
      <c r="Q118" s="39"/>
      <c r="R118" s="136"/>
      <c r="S118" s="93"/>
    </row>
    <row r="119" spans="1:19" x14ac:dyDescent="0.2">
      <c r="A119" s="7" t="s">
        <v>52</v>
      </c>
      <c r="B119" s="7"/>
      <c r="C119" s="7"/>
      <c r="D119" s="10"/>
      <c r="E119" s="72"/>
      <c r="F119" s="7" t="s">
        <v>54</v>
      </c>
      <c r="G119" s="7"/>
      <c r="H119" s="7"/>
      <c r="I119" s="101">
        <v>600</v>
      </c>
      <c r="J119" s="97">
        <v>0.6</v>
      </c>
      <c r="L119" s="93"/>
      <c r="O119" s="93"/>
      <c r="P119" s="136"/>
      <c r="Q119" s="39"/>
      <c r="R119" s="136"/>
      <c r="S119" s="93"/>
    </row>
    <row r="120" spans="1:19" x14ac:dyDescent="0.2">
      <c r="A120" s="7" t="s">
        <v>51</v>
      </c>
      <c r="B120" s="7"/>
      <c r="C120" s="7"/>
      <c r="D120" s="101">
        <v>28800</v>
      </c>
      <c r="E120" s="97">
        <v>0.7</v>
      </c>
      <c r="F120" s="5" t="s">
        <v>220</v>
      </c>
      <c r="G120" s="5"/>
      <c r="H120" s="5"/>
      <c r="I120" s="10"/>
      <c r="J120" s="72"/>
      <c r="L120" s="93"/>
      <c r="O120" s="93"/>
      <c r="P120" s="136"/>
      <c r="Q120" s="39"/>
      <c r="R120" s="136"/>
      <c r="S120" s="93"/>
    </row>
    <row r="121" spans="1:19" x14ac:dyDescent="0.2">
      <c r="A121" s="7" t="s">
        <v>53</v>
      </c>
      <c r="B121" s="7"/>
      <c r="C121" s="7"/>
      <c r="D121" s="132">
        <v>1.5</v>
      </c>
      <c r="E121" s="97">
        <v>0.7</v>
      </c>
      <c r="F121" s="7" t="s">
        <v>167</v>
      </c>
      <c r="G121" s="7"/>
      <c r="H121" s="7"/>
      <c r="I121" s="10"/>
      <c r="J121" s="72"/>
      <c r="L121" s="93"/>
      <c r="O121" s="93"/>
      <c r="P121" s="136"/>
      <c r="Q121" s="39"/>
      <c r="R121" s="136"/>
      <c r="S121" s="93"/>
    </row>
    <row r="122" spans="1:19" x14ac:dyDescent="0.2">
      <c r="A122" s="7" t="s">
        <v>54</v>
      </c>
      <c r="B122" s="7"/>
      <c r="C122" s="7"/>
      <c r="D122" s="101">
        <v>900</v>
      </c>
      <c r="E122" s="97">
        <v>0.6</v>
      </c>
      <c r="F122" s="7" t="s">
        <v>389</v>
      </c>
      <c r="G122" s="7"/>
      <c r="H122" s="7"/>
      <c r="I122" s="164">
        <v>4</v>
      </c>
      <c r="J122" s="97">
        <v>0.3</v>
      </c>
      <c r="L122" s="93"/>
      <c r="O122" s="93"/>
      <c r="P122" s="136"/>
      <c r="Q122" s="39"/>
      <c r="R122" s="136"/>
      <c r="S122" s="93"/>
    </row>
    <row r="123" spans="1:19" x14ac:dyDescent="0.2">
      <c r="A123" s="5" t="s">
        <v>292</v>
      </c>
      <c r="B123" s="7"/>
      <c r="C123" s="7"/>
      <c r="D123" s="10"/>
      <c r="E123" s="71"/>
      <c r="F123" s="7" t="s">
        <v>51</v>
      </c>
      <c r="G123" s="7"/>
      <c r="H123" s="7"/>
      <c r="I123" s="101">
        <v>43200</v>
      </c>
      <c r="J123" s="97">
        <v>0.5</v>
      </c>
      <c r="L123" s="93"/>
      <c r="O123" s="93"/>
      <c r="P123" s="136"/>
      <c r="Q123" s="39"/>
      <c r="R123" s="136"/>
      <c r="S123" s="93"/>
    </row>
    <row r="124" spans="1:19" x14ac:dyDescent="0.2">
      <c r="A124" s="7" t="s">
        <v>52</v>
      </c>
      <c r="B124" s="7"/>
      <c r="C124" s="7"/>
      <c r="D124" s="10"/>
      <c r="E124" s="71"/>
      <c r="F124" s="7" t="s">
        <v>53</v>
      </c>
      <c r="G124" s="7"/>
      <c r="H124" s="7"/>
      <c r="I124" s="132">
        <v>6</v>
      </c>
      <c r="J124" s="97">
        <v>0.7</v>
      </c>
      <c r="L124" s="93"/>
      <c r="O124" s="93"/>
      <c r="Q124" s="39"/>
      <c r="S124" s="93"/>
    </row>
    <row r="125" spans="1:19" x14ac:dyDescent="0.2">
      <c r="A125" s="7" t="s">
        <v>51</v>
      </c>
      <c r="B125" s="7"/>
      <c r="C125" s="7"/>
      <c r="D125" s="101">
        <v>28800</v>
      </c>
      <c r="E125" s="97">
        <v>0.5</v>
      </c>
      <c r="F125" s="7" t="s">
        <v>54</v>
      </c>
      <c r="G125" s="7"/>
      <c r="H125" s="7"/>
      <c r="I125" s="101">
        <v>900</v>
      </c>
      <c r="J125" s="97">
        <v>0.6</v>
      </c>
      <c r="L125" s="93"/>
      <c r="O125" s="93"/>
      <c r="Q125" s="39"/>
      <c r="S125" s="93"/>
    </row>
    <row r="126" spans="1:19" x14ac:dyDescent="0.2">
      <c r="A126" s="7" t="s">
        <v>53</v>
      </c>
      <c r="B126" s="7"/>
      <c r="C126" s="7"/>
      <c r="D126" s="132">
        <v>2</v>
      </c>
      <c r="E126" s="97">
        <v>0.7</v>
      </c>
      <c r="F126" s="5" t="s">
        <v>60</v>
      </c>
      <c r="G126" s="5"/>
      <c r="H126" s="5"/>
      <c r="I126" s="71"/>
      <c r="J126" s="20"/>
      <c r="L126" s="93"/>
      <c r="O126" s="93"/>
    </row>
    <row r="127" spans="1:19" x14ac:dyDescent="0.2">
      <c r="A127" s="7" t="s">
        <v>54</v>
      </c>
      <c r="B127" s="7"/>
      <c r="C127" s="7"/>
      <c r="D127" s="101">
        <v>300</v>
      </c>
      <c r="E127" s="97">
        <v>0.6</v>
      </c>
      <c r="F127" s="7" t="s">
        <v>167</v>
      </c>
      <c r="G127" s="7"/>
      <c r="H127" s="7"/>
      <c r="I127" s="71"/>
      <c r="J127" s="20"/>
      <c r="L127" s="93"/>
    </row>
    <row r="128" spans="1:19" x14ac:dyDescent="0.2">
      <c r="A128" s="5" t="s">
        <v>293</v>
      </c>
      <c r="F128" s="7" t="s">
        <v>51</v>
      </c>
      <c r="G128" s="7"/>
      <c r="H128" s="7"/>
      <c r="I128" s="101">
        <v>36000</v>
      </c>
      <c r="J128" s="97">
        <v>0.7</v>
      </c>
      <c r="L128" s="93"/>
    </row>
    <row r="129" spans="1:12" x14ac:dyDescent="0.2">
      <c r="A129" s="7" t="s">
        <v>52</v>
      </c>
      <c r="B129" s="7"/>
      <c r="C129" s="7"/>
      <c r="F129" s="7" t="s">
        <v>53</v>
      </c>
      <c r="G129" s="7"/>
      <c r="H129" s="7"/>
      <c r="I129" s="132">
        <v>2.5</v>
      </c>
      <c r="J129" s="97">
        <v>0.7</v>
      </c>
      <c r="L129" s="93"/>
    </row>
    <row r="130" spans="1:12" x14ac:dyDescent="0.2">
      <c r="A130" s="7" t="s">
        <v>51</v>
      </c>
      <c r="B130" s="7"/>
      <c r="C130" s="7"/>
      <c r="D130" s="101">
        <v>14400</v>
      </c>
      <c r="E130" s="97">
        <v>0.5</v>
      </c>
      <c r="F130" s="7" t="s">
        <v>54</v>
      </c>
      <c r="G130" s="7"/>
      <c r="H130" s="7"/>
      <c r="I130" s="101">
        <v>600</v>
      </c>
      <c r="J130" s="97">
        <v>0.6</v>
      </c>
      <c r="L130" s="93"/>
    </row>
    <row r="131" spans="1:12" x14ac:dyDescent="0.2">
      <c r="A131" s="7" t="s">
        <v>53</v>
      </c>
      <c r="B131" s="7"/>
      <c r="C131" s="7"/>
      <c r="D131" s="132">
        <v>1.6</v>
      </c>
      <c r="E131" s="97">
        <v>0.7</v>
      </c>
      <c r="F131" s="5" t="s">
        <v>61</v>
      </c>
      <c r="G131" s="5"/>
      <c r="H131" s="5"/>
      <c r="I131" s="71"/>
      <c r="J131" s="20"/>
      <c r="L131" s="93"/>
    </row>
    <row r="132" spans="1:12" x14ac:dyDescent="0.2">
      <c r="A132" s="7" t="s">
        <v>54</v>
      </c>
      <c r="B132" s="7"/>
      <c r="C132" s="7"/>
      <c r="D132" s="101">
        <v>300</v>
      </c>
      <c r="E132" s="97">
        <v>0.6</v>
      </c>
      <c r="F132" s="7" t="s">
        <v>50</v>
      </c>
      <c r="G132" s="7"/>
      <c r="H132" s="7"/>
      <c r="I132" s="71"/>
      <c r="J132" s="20"/>
      <c r="L132" s="93"/>
    </row>
    <row r="133" spans="1:12" x14ac:dyDescent="0.2">
      <c r="A133" s="5" t="s">
        <v>294</v>
      </c>
      <c r="F133" s="7" t="s">
        <v>51</v>
      </c>
      <c r="G133" s="7"/>
      <c r="H133" s="7"/>
      <c r="I133" s="101">
        <v>28800</v>
      </c>
      <c r="J133" s="97">
        <v>0.5</v>
      </c>
      <c r="L133" s="93"/>
    </row>
    <row r="134" spans="1:12" x14ac:dyDescent="0.2">
      <c r="A134" s="7" t="s">
        <v>50</v>
      </c>
      <c r="B134" s="7"/>
      <c r="C134" s="7"/>
      <c r="D134" s="14"/>
      <c r="E134" s="71"/>
      <c r="F134" s="7" t="s">
        <v>53</v>
      </c>
      <c r="G134" s="7"/>
      <c r="H134" s="7"/>
      <c r="I134" s="132">
        <v>5</v>
      </c>
      <c r="J134" s="97">
        <v>0.7</v>
      </c>
      <c r="L134" s="93"/>
    </row>
    <row r="135" spans="1:12" x14ac:dyDescent="0.2">
      <c r="A135" s="7" t="s">
        <v>51</v>
      </c>
      <c r="B135" s="7"/>
      <c r="C135" s="7"/>
      <c r="D135" s="101">
        <v>28800</v>
      </c>
      <c r="E135" s="97">
        <v>0.5</v>
      </c>
      <c r="F135" s="7" t="s">
        <v>54</v>
      </c>
      <c r="G135" s="7"/>
      <c r="H135" s="7"/>
      <c r="I135" s="101">
        <v>900</v>
      </c>
      <c r="J135" s="97">
        <v>0.6</v>
      </c>
      <c r="L135" s="93"/>
    </row>
    <row r="136" spans="1:12" x14ac:dyDescent="0.2">
      <c r="A136" s="7" t="s">
        <v>53</v>
      </c>
      <c r="B136" s="7"/>
      <c r="C136" s="7"/>
      <c r="D136" s="84">
        <v>1.5</v>
      </c>
      <c r="E136" s="97">
        <v>0.7</v>
      </c>
      <c r="G136" s="7"/>
      <c r="L136" s="93"/>
    </row>
    <row r="137" spans="1:12" x14ac:dyDescent="0.2">
      <c r="A137" s="7" t="s">
        <v>54</v>
      </c>
      <c r="B137" s="7"/>
      <c r="C137" s="7"/>
      <c r="D137" s="100">
        <v>300</v>
      </c>
      <c r="E137" s="97">
        <v>0.6</v>
      </c>
      <c r="L137" s="93"/>
    </row>
    <row r="138" spans="1:12" ht="15.75" x14ac:dyDescent="0.25">
      <c r="A138" s="18" t="s">
        <v>512</v>
      </c>
      <c r="L138" s="93"/>
    </row>
    <row r="139" spans="1:12" x14ac:dyDescent="0.2">
      <c r="A139" s="252" t="s">
        <v>350</v>
      </c>
      <c r="D139" s="209">
        <f>D74+D81+D86+D93+D99+D104+D110+D115+D120+D125+D130+D135+I76+I81+I86+I91+I96+I102+I107+I112+I117+I123+I128+I133</f>
        <v>626400</v>
      </c>
    </row>
    <row r="140" spans="1:12" x14ac:dyDescent="0.2">
      <c r="A140" s="252" t="s">
        <v>352</v>
      </c>
      <c r="D140" s="210">
        <f>D75+D82+D87+D94+D100+D105+D111+D116+D121+D126+D131+D136+I77+I82+I87+I92+I97+I103+I108+I113+I118+I124+I129+I134</f>
        <v>127.45</v>
      </c>
      <c r="E140" s="95"/>
    </row>
    <row r="141" spans="1:12" x14ac:dyDescent="0.2">
      <c r="A141" s="252" t="s">
        <v>351</v>
      </c>
      <c r="D141" s="209">
        <f>D76+D83+D88+D95+D101+D106+D112+D117+D122+D127+D132+D137+I78+I83+I88+I93+I98+I104+I109+I114+I119+I125+I130+I135</f>
        <v>15425</v>
      </c>
    </row>
    <row r="153" ht="12.75" customHeight="1" x14ac:dyDescent="0.2"/>
    <row r="154" ht="12.75" customHeight="1" x14ac:dyDescent="0.2"/>
    <row r="155" ht="12.75" customHeight="1" x14ac:dyDescent="0.2"/>
    <row r="178" spans="12:12" x14ac:dyDescent="0.2">
      <c r="L178" s="93"/>
    </row>
    <row r="179" spans="12:12" x14ac:dyDescent="0.2">
      <c r="L179" s="129"/>
    </row>
    <row r="180" spans="12:12" x14ac:dyDescent="0.2">
      <c r="L180" s="93"/>
    </row>
    <row r="181" spans="12:12" x14ac:dyDescent="0.2">
      <c r="L181" s="78"/>
    </row>
    <row r="182" spans="12:12" x14ac:dyDescent="0.2">
      <c r="L182" s="78"/>
    </row>
    <row r="183" spans="12:12" x14ac:dyDescent="0.2">
      <c r="L183" s="87"/>
    </row>
    <row r="184" spans="12:12" x14ac:dyDescent="0.2">
      <c r="L184" s="93"/>
    </row>
    <row r="185" spans="12:12" x14ac:dyDescent="0.2">
      <c r="L185" s="129"/>
    </row>
    <row r="186" spans="12:12" x14ac:dyDescent="0.2">
      <c r="L186" s="93"/>
    </row>
    <row r="188" spans="12:12" x14ac:dyDescent="0.2">
      <c r="L188" s="87"/>
    </row>
    <row r="189" spans="12:12" x14ac:dyDescent="0.2">
      <c r="L189" s="93"/>
    </row>
    <row r="190" spans="12:12" x14ac:dyDescent="0.2">
      <c r="L190" s="93"/>
    </row>
    <row r="191" spans="12:12" x14ac:dyDescent="0.2">
      <c r="L191" s="93"/>
    </row>
    <row r="192" spans="12:12" x14ac:dyDescent="0.2">
      <c r="L192" s="78"/>
    </row>
    <row r="193" spans="12:12" x14ac:dyDescent="0.2">
      <c r="L193" s="78"/>
    </row>
    <row r="194" spans="12:12" x14ac:dyDescent="0.2">
      <c r="L194" s="87"/>
    </row>
    <row r="195" spans="12:12" x14ac:dyDescent="0.2">
      <c r="L195" s="93"/>
    </row>
    <row r="196" spans="12:12" x14ac:dyDescent="0.2">
      <c r="L196" s="129"/>
    </row>
    <row r="197" spans="12:12" x14ac:dyDescent="0.2">
      <c r="L197" s="93"/>
    </row>
    <row r="198" spans="12:12" x14ac:dyDescent="0.2">
      <c r="L198" s="78"/>
    </row>
    <row r="199" spans="12:12" x14ac:dyDescent="0.2">
      <c r="L199" s="87"/>
    </row>
    <row r="200" spans="12:12" x14ac:dyDescent="0.2">
      <c r="L200" s="93"/>
    </row>
    <row r="201" spans="12:12" x14ac:dyDescent="0.2">
      <c r="L201" s="129"/>
    </row>
    <row r="202" spans="12:12" x14ac:dyDescent="0.2">
      <c r="L202" s="93"/>
    </row>
    <row r="203" spans="12:12" x14ac:dyDescent="0.2">
      <c r="L203" s="78"/>
    </row>
    <row r="204" spans="12:12" x14ac:dyDescent="0.2">
      <c r="L204" s="87"/>
    </row>
    <row r="205" spans="12:12" x14ac:dyDescent="0.2">
      <c r="L205" s="93"/>
    </row>
    <row r="206" spans="12:12" x14ac:dyDescent="0.2">
      <c r="L206" s="129"/>
    </row>
    <row r="207" spans="12:12" x14ac:dyDescent="0.2">
      <c r="L207" s="93"/>
    </row>
    <row r="208" spans="12:12" x14ac:dyDescent="0.2">
      <c r="L208" s="78"/>
    </row>
    <row r="209" spans="12:12" x14ac:dyDescent="0.2">
      <c r="L209" s="87"/>
    </row>
    <row r="210" spans="12:12" x14ac:dyDescent="0.2">
      <c r="L210" s="93"/>
    </row>
    <row r="211" spans="12:12" x14ac:dyDescent="0.2">
      <c r="L211" s="129"/>
    </row>
    <row r="212" spans="12:12" x14ac:dyDescent="0.2">
      <c r="L212" s="93"/>
    </row>
    <row r="213" spans="12:12" x14ac:dyDescent="0.2">
      <c r="L213" s="78"/>
    </row>
    <row r="214" spans="12:12" x14ac:dyDescent="0.2">
      <c r="L214" s="87"/>
    </row>
    <row r="215" spans="12:12" x14ac:dyDescent="0.2">
      <c r="L215" s="93"/>
    </row>
    <row r="216" spans="12:12" x14ac:dyDescent="0.2">
      <c r="L216" s="129"/>
    </row>
    <row r="217" spans="12:12" x14ac:dyDescent="0.2">
      <c r="L217" s="93"/>
    </row>
    <row r="218" spans="12:12" x14ac:dyDescent="0.2">
      <c r="L218" s="78"/>
    </row>
    <row r="219" spans="12:12" x14ac:dyDescent="0.2">
      <c r="L219" s="87"/>
    </row>
    <row r="220" spans="12:12" x14ac:dyDescent="0.2">
      <c r="L220" s="93"/>
    </row>
    <row r="221" spans="12:12" x14ac:dyDescent="0.2">
      <c r="L221" s="129"/>
    </row>
    <row r="222" spans="12:12" x14ac:dyDescent="0.2">
      <c r="L222" s="93"/>
    </row>
    <row r="223" spans="12:12" x14ac:dyDescent="0.2">
      <c r="L223" s="78"/>
    </row>
    <row r="224" spans="12:12" x14ac:dyDescent="0.2">
      <c r="L224" s="87"/>
    </row>
    <row r="225" spans="12:12" x14ac:dyDescent="0.2">
      <c r="L225" s="93"/>
    </row>
    <row r="226" spans="12:12" x14ac:dyDescent="0.2">
      <c r="L226" s="129"/>
    </row>
    <row r="227" spans="12:12" x14ac:dyDescent="0.2">
      <c r="L227" s="129"/>
    </row>
    <row r="228" spans="12:12" x14ac:dyDescent="0.2">
      <c r="L228" s="78"/>
    </row>
    <row r="229" spans="12:12" x14ac:dyDescent="0.2">
      <c r="L229" s="87"/>
    </row>
    <row r="230" spans="12:12" x14ac:dyDescent="0.2">
      <c r="L230" s="93"/>
    </row>
    <row r="231" spans="12:12" x14ac:dyDescent="0.2">
      <c r="L231" s="129"/>
    </row>
    <row r="232" spans="12:12" x14ac:dyDescent="0.2">
      <c r="L232" s="93"/>
    </row>
    <row r="233" spans="12:12" x14ac:dyDescent="0.2">
      <c r="L233" s="78"/>
    </row>
    <row r="235" spans="12:12" x14ac:dyDescent="0.2">
      <c r="L235" s="87"/>
    </row>
    <row r="236" spans="12:12" x14ac:dyDescent="0.2">
      <c r="L236" s="93"/>
    </row>
    <row r="237" spans="12:12" x14ac:dyDescent="0.2">
      <c r="L237" s="129"/>
    </row>
    <row r="238" spans="12:12" x14ac:dyDescent="0.2">
      <c r="L238" s="93"/>
    </row>
    <row r="240" spans="12:12" x14ac:dyDescent="0.2">
      <c r="L240" s="130"/>
    </row>
    <row r="241" spans="12:12" x14ac:dyDescent="0.2">
      <c r="L241" s="93"/>
    </row>
    <row r="242" spans="12:12" x14ac:dyDescent="0.2">
      <c r="L242" s="129"/>
    </row>
    <row r="243" spans="12:12" x14ac:dyDescent="0.2">
      <c r="L243" s="93"/>
    </row>
    <row r="244" spans="12:12" x14ac:dyDescent="0.2">
      <c r="L244" s="130"/>
    </row>
    <row r="245" spans="12:12" x14ac:dyDescent="0.2">
      <c r="L245" s="130"/>
    </row>
    <row r="246" spans="12:12" x14ac:dyDescent="0.2">
      <c r="L246" s="93"/>
    </row>
    <row r="247" spans="12:12" x14ac:dyDescent="0.2">
      <c r="L247" s="129"/>
    </row>
    <row r="248" spans="12:12" x14ac:dyDescent="0.2">
      <c r="L248" s="93"/>
    </row>
  </sheetData>
  <mergeCells count="4">
    <mergeCell ref="A1:J1"/>
    <mergeCell ref="C31:D31"/>
    <mergeCell ref="M16:N16"/>
    <mergeCell ref="A63:C63"/>
  </mergeCells>
  <phoneticPr fontId="6" type="noConversion"/>
  <printOptions horizontalCentered="1"/>
  <pageMargins left="0.5" right="0.5" top="0.5" bottom="0.5" header="0.5" footer="0.5"/>
  <headerFooter alignWithMargins="0">
    <oddFooter>&amp;C &amp;P&amp;R&amp;D, &amp;D</oddFooter>
  </headerFooter>
  <rowBreaks count="1" manualBreakCount="1">
    <brk id="68" max="9" man="1"/>
  </rowBreaks>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Q265"/>
  <sheetViews>
    <sheetView workbookViewId="0">
      <selection activeCell="P2" sqref="P2"/>
    </sheetView>
  </sheetViews>
  <sheetFormatPr defaultColWidth="8.85546875" defaultRowHeight="12.75" x14ac:dyDescent="0.2"/>
  <cols>
    <col min="1" max="1" width="9" customWidth="1"/>
    <col min="2" max="2" width="8.42578125" customWidth="1"/>
    <col min="3" max="3" width="12.140625" customWidth="1"/>
    <col min="4" max="4" width="9.7109375" customWidth="1"/>
    <col min="6" max="6" width="11.42578125" customWidth="1"/>
    <col min="7" max="10" width="10.7109375" customWidth="1"/>
    <col min="11" max="15" width="10.85546875" customWidth="1"/>
    <col min="16" max="17" width="11.42578125" customWidth="1"/>
    <col min="18" max="20" width="10.7109375" customWidth="1"/>
  </cols>
  <sheetData>
    <row r="1" spans="1:17" ht="15.75" x14ac:dyDescent="0.25">
      <c r="A1" s="510" t="s">
        <v>159</v>
      </c>
      <c r="B1" s="510"/>
      <c r="C1" s="510"/>
      <c r="D1" s="510"/>
      <c r="E1" s="510"/>
      <c r="F1" s="510"/>
      <c r="G1" s="510"/>
      <c r="H1" s="510"/>
      <c r="I1" s="510"/>
      <c r="J1" s="510"/>
      <c r="K1" s="510"/>
      <c r="L1" s="510"/>
    </row>
    <row r="2" spans="1:17" ht="15.75" x14ac:dyDescent="0.25">
      <c r="A2" s="512" t="str">
        <f>'Battery Design'!A2:L2</f>
        <v>Li/O2 open architecture system</v>
      </c>
      <c r="B2" s="510"/>
      <c r="C2" s="510"/>
      <c r="D2" s="510"/>
      <c r="E2" s="510"/>
      <c r="F2" s="510"/>
      <c r="G2" s="510"/>
      <c r="H2" s="510"/>
      <c r="I2" s="510"/>
      <c r="J2" s="510"/>
      <c r="K2" s="510"/>
      <c r="L2" s="510"/>
    </row>
    <row r="3" spans="1:17" x14ac:dyDescent="0.2">
      <c r="A3" s="55"/>
      <c r="B3" s="55"/>
      <c r="C3" s="55"/>
      <c r="D3" s="55"/>
      <c r="E3" s="55"/>
      <c r="F3" s="56" t="s">
        <v>106</v>
      </c>
      <c r="G3" s="56" t="s">
        <v>107</v>
      </c>
      <c r="H3" s="56" t="s">
        <v>108</v>
      </c>
      <c r="I3" s="56" t="s">
        <v>109</v>
      </c>
      <c r="J3" s="56" t="s">
        <v>110</v>
      </c>
      <c r="K3" s="300" t="s">
        <v>502</v>
      </c>
      <c r="L3" s="303" t="s">
        <v>503</v>
      </c>
      <c r="M3" s="360" t="s">
        <v>538</v>
      </c>
      <c r="N3" s="360" t="s">
        <v>539</v>
      </c>
      <c r="O3" s="360" t="s">
        <v>604</v>
      </c>
    </row>
    <row r="4" spans="1:17" ht="15.75" x14ac:dyDescent="0.25">
      <c r="A4" s="216" t="s">
        <v>74</v>
      </c>
      <c r="B4" s="76"/>
      <c r="C4" s="76"/>
      <c r="D4" s="58"/>
      <c r="E4" s="58"/>
      <c r="F4" s="60"/>
      <c r="G4" s="60"/>
      <c r="H4" s="60"/>
      <c r="I4" s="60"/>
      <c r="J4" s="60"/>
      <c r="K4" s="60"/>
      <c r="L4" s="60"/>
      <c r="M4" s="60"/>
      <c r="N4" s="60"/>
      <c r="O4" s="60"/>
    </row>
    <row r="5" spans="1:17" x14ac:dyDescent="0.2">
      <c r="A5" s="26" t="s">
        <v>455</v>
      </c>
      <c r="B5" s="45"/>
      <c r="C5" s="45"/>
      <c r="D5" s="58"/>
      <c r="E5" s="60"/>
      <c r="F5" s="62">
        <f>'Battery Design'!F71*'Battery Design'!F64</f>
        <v>100000</v>
      </c>
      <c r="G5" s="62">
        <f>'Battery Design'!G71*'Battery Design'!G64</f>
        <v>100000</v>
      </c>
      <c r="H5" s="62">
        <f>'Battery Design'!H71*'Battery Design'!H64</f>
        <v>100000</v>
      </c>
      <c r="I5" s="62">
        <f>'Battery Design'!I71*'Battery Design'!I64</f>
        <v>100000</v>
      </c>
      <c r="J5" s="62">
        <f>'Battery Design'!J71*'Battery Design'!J64</f>
        <v>100000</v>
      </c>
      <c r="K5" s="62">
        <f>'Battery Design'!K71*'Battery Design'!K64</f>
        <v>100000</v>
      </c>
      <c r="L5" s="62">
        <f>'Battery Design'!L71*'Battery Design'!L64</f>
        <v>100000</v>
      </c>
      <c r="M5" s="62">
        <f>'Battery Design'!M71*'Battery Design'!M64</f>
        <v>100000</v>
      </c>
      <c r="N5" s="62">
        <f>'Battery Design'!N71*'Battery Design'!N64</f>
        <v>100000</v>
      </c>
      <c r="O5" s="62">
        <f>'Battery Design'!O71*'Battery Design'!O64</f>
        <v>100000</v>
      </c>
    </row>
    <row r="6" spans="1:17" x14ac:dyDescent="0.2">
      <c r="A6" s="48" t="s">
        <v>225</v>
      </c>
      <c r="B6" s="48"/>
      <c r="C6" s="48"/>
      <c r="D6" s="58"/>
      <c r="E6" s="58"/>
      <c r="F6" s="62">
        <f>F5*'Iterative I-V'!C3</f>
        <v>12800000</v>
      </c>
      <c r="G6" s="62">
        <f>G5*'Iterative I-V'!D3</f>
        <v>12800000</v>
      </c>
      <c r="H6" s="62">
        <f>H5*'Iterative I-V'!E3</f>
        <v>12800000</v>
      </c>
      <c r="I6" s="62">
        <f>I5*'Iterative I-V'!F3</f>
        <v>12800000</v>
      </c>
      <c r="J6" s="62">
        <f>J5*'Iterative I-V'!G3</f>
        <v>12800000</v>
      </c>
      <c r="K6" s="62">
        <f>K5*'Iterative I-V'!H3</f>
        <v>12800000</v>
      </c>
      <c r="L6" s="62">
        <f>L5*'Iterative I-V'!I3</f>
        <v>12800000</v>
      </c>
      <c r="M6" s="62">
        <f>M5*'Iterative I-V'!J3</f>
        <v>12700000</v>
      </c>
      <c r="N6" s="62">
        <f>N5*'Iterative I-V'!K3</f>
        <v>12700000</v>
      </c>
      <c r="O6" s="62">
        <f>O5*'Iterative I-V'!L3</f>
        <v>12700000</v>
      </c>
    </row>
    <row r="7" spans="1:17" x14ac:dyDescent="0.2">
      <c r="A7" s="45" t="s">
        <v>75</v>
      </c>
      <c r="B7" s="45"/>
      <c r="C7" s="45"/>
      <c r="D7" s="58"/>
      <c r="E7" s="58"/>
      <c r="F7" s="62">
        <f>F5*'Iterative I-V'!C6</f>
        <v>24000000</v>
      </c>
      <c r="G7" s="62">
        <f>G5*'Iterative I-V'!D6</f>
        <v>24000000</v>
      </c>
      <c r="H7" s="62">
        <f>H5*'Iterative I-V'!E6</f>
        <v>24000000</v>
      </c>
      <c r="I7" s="62">
        <f>I5*'Iterative I-V'!F6</f>
        <v>24000000</v>
      </c>
      <c r="J7" s="62">
        <f>J5*'Iterative I-V'!G6</f>
        <v>24000000</v>
      </c>
      <c r="K7" s="62">
        <f>K5*'Iterative I-V'!H6</f>
        <v>24000000</v>
      </c>
      <c r="L7" s="62">
        <f>L5*'Iterative I-V'!I6</f>
        <v>24000000</v>
      </c>
      <c r="M7" s="62">
        <f>M5*'Iterative I-V'!J6</f>
        <v>24000000</v>
      </c>
      <c r="N7" s="62">
        <f>N5*'Iterative I-V'!K6</f>
        <v>24000000</v>
      </c>
      <c r="O7" s="62">
        <f>O5*'Iterative I-V'!L6</f>
        <v>24000000</v>
      </c>
    </row>
    <row r="8" spans="1:17" x14ac:dyDescent="0.2">
      <c r="A8" s="48" t="s">
        <v>76</v>
      </c>
      <c r="B8" s="48"/>
      <c r="C8" s="48"/>
      <c r="D8" s="58"/>
      <c r="E8" s="58"/>
      <c r="F8" s="62">
        <f>F7/'Cost Input'!$E4*100</f>
        <v>25263157.894736841</v>
      </c>
      <c r="G8" s="62">
        <f>G7/'Cost Input'!$E4*100</f>
        <v>25263157.894736841</v>
      </c>
      <c r="H8" s="62">
        <f>H7/'Cost Input'!$E4*100</f>
        <v>25263157.894736841</v>
      </c>
      <c r="I8" s="62">
        <f>I7/'Cost Input'!$E4*100</f>
        <v>25263157.894736841</v>
      </c>
      <c r="J8" s="62">
        <f>J7/'Cost Input'!$E4*100</f>
        <v>25263157.894736841</v>
      </c>
      <c r="K8" s="62">
        <f>K7/'Cost Input'!$E4*100</f>
        <v>25263157.894736841</v>
      </c>
      <c r="L8" s="62">
        <f>L7/'Cost Input'!$E4*100</f>
        <v>25263157.894736841</v>
      </c>
      <c r="M8" s="62">
        <f>M7/'Cost Input'!$E4*100</f>
        <v>25263157.894736841</v>
      </c>
      <c r="N8" s="62">
        <f>N7/'Cost Input'!$E4*100</f>
        <v>25263157.894736841</v>
      </c>
      <c r="O8" s="62">
        <f>O7/'Cost Input'!$E4*100</f>
        <v>25263157.894736841</v>
      </c>
    </row>
    <row r="9" spans="1:17" ht="14.25" x14ac:dyDescent="0.2">
      <c r="A9" s="48" t="s">
        <v>226</v>
      </c>
      <c r="B9" s="48"/>
      <c r="C9" s="48"/>
      <c r="D9" s="58"/>
      <c r="E9" s="58"/>
      <c r="F9" s="62">
        <f ca="1">F8*'Iterative I-V'!C134/10000</f>
        <v>129545826.85624607</v>
      </c>
      <c r="G9" s="62">
        <f ca="1">G8*'Iterative I-V'!D134/10000</f>
        <v>74544050.310948744</v>
      </c>
      <c r="H9" s="62">
        <f ca="1">H8*'Iterative I-V'!E134/10000</f>
        <v>44873087.098219</v>
      </c>
      <c r="I9" s="62">
        <f ca="1">I8*'Iterative I-V'!F134/10000</f>
        <v>28687982.541609112</v>
      </c>
      <c r="J9" s="62">
        <f ca="1">J8*'Iterative I-V'!G134/10000</f>
        <v>19622399.641801789</v>
      </c>
      <c r="K9" s="62">
        <f ca="1">K8*'Iterative I-V'!H134/10000</f>
        <v>15626313.20290835</v>
      </c>
      <c r="L9" s="62">
        <f ca="1">L8*'Iterative I-V'!I134/10000</f>
        <v>15338370.745494461</v>
      </c>
      <c r="M9" s="62">
        <f ca="1">M8*'Iterative I-V'!J134/10000</f>
        <v>14975093.858739503</v>
      </c>
      <c r="N9" s="62">
        <f ca="1">N8*'Iterative I-V'!K134/10000</f>
        <v>14756254.777273063</v>
      </c>
      <c r="O9" s="62">
        <f ca="1">O8*'Iterative I-V'!L134/10000</f>
        <v>14569293.226312835</v>
      </c>
      <c r="P9" s="482"/>
    </row>
    <row r="10" spans="1:17" x14ac:dyDescent="0.2">
      <c r="A10" s="48" t="s">
        <v>331</v>
      </c>
      <c r="B10" s="48"/>
      <c r="C10" s="48"/>
      <c r="D10" s="58"/>
      <c r="E10" s="58"/>
      <c r="F10" s="62">
        <f ca="1">'Battery Design'!F6*F7/1000/'Cost Input'!$E4*100/'Cost Input'!$E7*100</f>
        <v>4763534.6398723358</v>
      </c>
      <c r="G10" s="62">
        <f ca="1">'Battery Design'!G6*G7/1000/'Cost Input'!$E4*100/'Cost Input'!$E7*100</f>
        <v>4750321.8014266053</v>
      </c>
      <c r="H10" s="62">
        <f ca="1">'Battery Design'!H6*H7/1000/'Cost Input'!$E4*100/'Cost Input'!$E7*100</f>
        <v>4731348.433569435</v>
      </c>
      <c r="I10" s="62">
        <f ca="1">'Battery Design'!I6*I7/1000/'Cost Input'!$E4*100/'Cost Input'!$E7*100</f>
        <v>4705641.2987192273</v>
      </c>
      <c r="J10" s="62">
        <f ca="1">'Battery Design'!J6*J7/1000/'Cost Input'!$E4*100/'Cost Input'!$E7*100</f>
        <v>4735754.1851935228</v>
      </c>
      <c r="K10" s="62">
        <f ca="1">'Battery Design'!K6*K7/1000/'Cost Input'!$E4*100/'Cost Input'!$E7*100</f>
        <v>4698062.9282496637</v>
      </c>
      <c r="L10" s="62">
        <f ca="1">'Battery Design'!L6*L7/1000/'Cost Input'!$E4*100/'Cost Input'!$E7*100</f>
        <v>4611492.8098167675</v>
      </c>
      <c r="M10" s="62">
        <f ca="1">'Battery Design'!M6*M7/1000/'Cost Input'!$E4*100/'Cost Input'!$E7*100</f>
        <v>4502273.3380071484</v>
      </c>
      <c r="N10" s="62">
        <f ca="1">'Battery Design'!N6*N7/1000/'Cost Input'!$E4*100/'Cost Input'!$E7*100</f>
        <v>4436479.2020174544</v>
      </c>
      <c r="O10" s="62">
        <f ca="1">'Battery Design'!O6*O7/1000/'Cost Input'!$E4*100/'Cost Input'!$E7*100</f>
        <v>4380269.0697764838</v>
      </c>
    </row>
    <row r="11" spans="1:17" x14ac:dyDescent="0.2">
      <c r="A11" s="48" t="s">
        <v>332</v>
      </c>
      <c r="B11" s="48"/>
      <c r="C11" s="48"/>
      <c r="D11" s="58"/>
      <c r="E11" s="58"/>
      <c r="F11" s="62">
        <f ca="1">'Battery Design'!F15*F7/1000/'Cost Input'!$E4*100/'Cost Input'!$E8*100</f>
        <v>2161541.748007338</v>
      </c>
      <c r="G11" s="62">
        <f ca="1">'Battery Design'!G15*G7/1000/'Cost Input'!$E4*100/'Cost Input'!$E8*100</f>
        <v>2155546.1787359272</v>
      </c>
      <c r="H11" s="62">
        <f ca="1">'Battery Design'!H15*H7/1000/'Cost Input'!$E4*100/'Cost Input'!$E8*100</f>
        <v>2146936.6629405986</v>
      </c>
      <c r="I11" s="62">
        <f ca="1">'Battery Design'!I15*I7/1000/'Cost Input'!$E4*100/'Cost Input'!$E8*100</f>
        <v>2135271.5761088035</v>
      </c>
      <c r="J11" s="62">
        <f ca="1">'Battery Design'!J15*J7/1000/'Cost Input'!$E4*100/'Cost Input'!$E8*100</f>
        <v>2148935.8540427485</v>
      </c>
      <c r="K11" s="62">
        <f ca="1">'Battery Design'!K15*K7/1000/'Cost Input'!$E4*100/'Cost Input'!$E8*100</f>
        <v>2131832.7506587431</v>
      </c>
      <c r="L11" s="62">
        <f ca="1">'Battery Design'!L15*L7/1000/'Cost Input'!$E4*100/'Cost Input'!$E8*100</f>
        <v>2092549.9618748967</v>
      </c>
      <c r="M11" s="62">
        <f ca="1">'Battery Design'!M15*M7/1000/'Cost Input'!$E4*100/'Cost Input'!$E8*100</f>
        <v>2042989.6110304387</v>
      </c>
      <c r="N11" s="62">
        <f ca="1">'Battery Design'!N15*N7/1000/'Cost Input'!$E4*100/'Cost Input'!$E8*100</f>
        <v>2013134.3076753644</v>
      </c>
      <c r="O11" s="62">
        <f ca="1">'Battery Design'!O15*O7/1000/'Cost Input'!$E4*100/'Cost Input'!$E8*100</f>
        <v>1987627.9228822589</v>
      </c>
    </row>
    <row r="12" spans="1:17" x14ac:dyDescent="0.2">
      <c r="A12" s="48" t="s">
        <v>333</v>
      </c>
      <c r="B12" s="48"/>
      <c r="C12" s="48"/>
      <c r="D12" s="58"/>
      <c r="E12" s="58"/>
      <c r="F12" s="62">
        <f t="shared" ref="F12:K12" ca="1" si="0">F50</f>
        <v>2919984.8701520711</v>
      </c>
      <c r="G12" s="62">
        <f t="shared" ca="1" si="0"/>
        <v>2911885.5717847473</v>
      </c>
      <c r="H12" s="62">
        <f t="shared" ca="1" si="0"/>
        <v>2900255.1436960613</v>
      </c>
      <c r="I12" s="62">
        <f t="shared" ca="1" si="0"/>
        <v>2884497.0038929195</v>
      </c>
      <c r="J12" s="62">
        <f t="shared" ca="1" si="0"/>
        <v>2902955.8122222624</v>
      </c>
      <c r="K12" s="62">
        <f t="shared" ca="1" si="0"/>
        <v>2879851.5612127753</v>
      </c>
      <c r="L12" s="62">
        <f t="shared" ref="L12:O12" ca="1" si="1">L50</f>
        <v>2826785.2029006635</v>
      </c>
      <c r="M12" s="62">
        <f t="shared" ca="1" si="1"/>
        <v>2759835.0851160702</v>
      </c>
      <c r="N12" s="62">
        <f t="shared" ca="1" si="1"/>
        <v>2719504.1342236856</v>
      </c>
      <c r="O12" s="62">
        <f t="shared" ca="1" si="1"/>
        <v>2685048.0531616886</v>
      </c>
    </row>
    <row r="13" spans="1:17" ht="14.25" x14ac:dyDescent="0.2">
      <c r="A13" s="48" t="s">
        <v>295</v>
      </c>
      <c r="B13" s="48"/>
      <c r="C13" s="48"/>
      <c r="D13" s="58"/>
      <c r="E13" s="58"/>
      <c r="F13" s="62">
        <f ca="1">F199+F204+F209+F214+F177/3+F172+F182/2</f>
        <v>10617.130462418136</v>
      </c>
      <c r="G13" s="62">
        <f t="shared" ref="G13:O13" ca="1" si="2">G199+G204+G209+G214+G177/3+G172+G182/2</f>
        <v>9619.9720345160058</v>
      </c>
      <c r="H13" s="62">
        <f t="shared" ca="1" si="2"/>
        <v>8954.1521810059985</v>
      </c>
      <c r="I13" s="62">
        <f t="shared" ca="1" si="2"/>
        <v>8513.8554781693801</v>
      </c>
      <c r="J13" s="62">
        <f t="shared" ca="1" si="2"/>
        <v>8222.437029748975</v>
      </c>
      <c r="K13" s="62">
        <f t="shared" ca="1" si="2"/>
        <v>8077.0275928196679</v>
      </c>
      <c r="L13" s="62">
        <f t="shared" ca="1" si="2"/>
        <v>8066.0057508690688</v>
      </c>
      <c r="M13" s="62">
        <f t="shared" ca="1" si="2"/>
        <v>8051.9814575604423</v>
      </c>
      <c r="N13" s="62">
        <f t="shared" ca="1" si="2"/>
        <v>8043.4674729020426</v>
      </c>
      <c r="O13" s="62">
        <f t="shared" ca="1" si="2"/>
        <v>8036.1536048195203</v>
      </c>
      <c r="Q13" s="483"/>
    </row>
    <row r="14" spans="1:17" ht="15.75" x14ac:dyDescent="0.25">
      <c r="A14" s="18" t="s">
        <v>77</v>
      </c>
      <c r="B14" s="18"/>
      <c r="C14" s="18"/>
      <c r="D14" s="58"/>
      <c r="E14" s="58"/>
      <c r="F14" s="60"/>
      <c r="G14" s="60"/>
      <c r="H14" s="60"/>
      <c r="I14" s="60"/>
      <c r="J14" s="60"/>
      <c r="K14" s="60"/>
      <c r="L14" s="60"/>
      <c r="M14" s="60"/>
      <c r="N14" s="60"/>
      <c r="O14" s="60"/>
    </row>
    <row r="15" spans="1:17" ht="15" x14ac:dyDescent="0.25">
      <c r="A15" s="258" t="s">
        <v>234</v>
      </c>
      <c r="B15" s="5"/>
      <c r="C15" s="5"/>
      <c r="E15" s="331" t="s">
        <v>78</v>
      </c>
    </row>
    <row r="16" spans="1:17" x14ac:dyDescent="0.2">
      <c r="A16" s="7" t="s">
        <v>208</v>
      </c>
      <c r="B16" s="7"/>
      <c r="C16" s="7"/>
      <c r="E16" s="6">
        <f>'Cost Input'!E7</f>
        <v>92.2</v>
      </c>
    </row>
    <row r="17" spans="1:15" x14ac:dyDescent="0.2">
      <c r="A17" s="7" t="s">
        <v>30</v>
      </c>
      <c r="B17" s="7"/>
      <c r="C17" s="7"/>
      <c r="E17" s="6"/>
      <c r="F17" s="77">
        <f ca="1">'Battery Design'!F6/'Cost Input'!$E$4*100/$E$16*100</f>
        <v>198.48060999468063</v>
      </c>
      <c r="G17" s="77">
        <f ca="1">'Battery Design'!G6/'Cost Input'!$E$4*100/$E$16*100</f>
        <v>197.93007505944195</v>
      </c>
      <c r="H17" s="77">
        <f ca="1">'Battery Design'!H6/'Cost Input'!$E$4*100/$E$16*100</f>
        <v>197.1395180653931</v>
      </c>
      <c r="I17" s="77">
        <f ca="1">'Battery Design'!I6/'Cost Input'!$E$4*100/$E$16*100</f>
        <v>196.06838744663452</v>
      </c>
      <c r="J17" s="77">
        <f ca="1">'Battery Design'!J6/'Cost Input'!$E$4*100/$E$16*100</f>
        <v>197.32309104973012</v>
      </c>
      <c r="K17" s="77">
        <f ca="1">'Battery Design'!K6/'Cost Input'!$E$4*100/$E$16*100</f>
        <v>195.75262201040266</v>
      </c>
      <c r="L17" s="77">
        <f ca="1">'Battery Design'!L6/'Cost Input'!$E$4*100/$E$16*100</f>
        <v>192.14553374236533</v>
      </c>
      <c r="M17" s="77">
        <f ca="1">'Battery Design'!M6/'Cost Input'!$E$4*100/$E$16*100</f>
        <v>187.59472241696452</v>
      </c>
      <c r="N17" s="77">
        <f ca="1">'Battery Design'!N6/'Cost Input'!$E$4*100/$E$16*100</f>
        <v>184.85330008406058</v>
      </c>
      <c r="O17" s="77">
        <f ca="1">'Battery Design'!O6/'Cost Input'!$E$4*100/$E$16*100</f>
        <v>182.51121124068686</v>
      </c>
    </row>
    <row r="18" spans="1:15" x14ac:dyDescent="0.2">
      <c r="A18" s="7" t="s">
        <v>263</v>
      </c>
      <c r="B18" s="7"/>
      <c r="C18" s="7"/>
      <c r="E18" s="6"/>
      <c r="F18" s="77">
        <f ca="1">'Battery Design'!F7/'Cost Input'!$E$4*100/$E$16*100</f>
        <v>20.907769883988006</v>
      </c>
      <c r="G18" s="77">
        <f ca="1">'Battery Design'!G7/'Cost Input'!$E$4*100/$E$16*100</f>
        <v>20.849777026467343</v>
      </c>
      <c r="H18" s="77">
        <f ca="1">'Battery Design'!H7/'Cost Input'!$E$4*100/$E$16*100</f>
        <v>20.766500459995914</v>
      </c>
      <c r="I18" s="77">
        <f ca="1">'Battery Design'!I7/'Cost Input'!$E$4*100/$E$16*100</f>
        <v>20.65366851891828</v>
      </c>
      <c r="J18" s="77">
        <f ca="1">'Battery Design'!J7/'Cost Input'!$E$4*100/$E$16*100</f>
        <v>20.785837873924535</v>
      </c>
      <c r="K18" s="77">
        <f ca="1">'Battery Design'!K7/'Cost Input'!$E$4*100/$E$16*100</f>
        <v>20.620406070359863</v>
      </c>
      <c r="L18" s="77">
        <f ca="1">'Battery Design'!L7/'Cost Input'!$E$4*100/$E$16*100</f>
        <v>20.240438619325623</v>
      </c>
      <c r="M18" s="77">
        <f ca="1">'Battery Design'!M7/'Cost Input'!$E$4*100/$E$16*100</f>
        <v>19.761060225740852</v>
      </c>
      <c r="N18" s="77">
        <f ca="1">'Battery Design'!N7/'Cost Input'!$E$4*100/$E$16*100</f>
        <v>19.472281249836112</v>
      </c>
      <c r="O18" s="77">
        <f ca="1">'Battery Design'!O7/'Cost Input'!$E$4*100/$E$16*100</f>
        <v>19.225567706450416</v>
      </c>
    </row>
    <row r="19" spans="1:15" x14ac:dyDescent="0.2">
      <c r="A19" s="7" t="s">
        <v>36</v>
      </c>
      <c r="B19" s="7"/>
      <c r="C19" s="7"/>
      <c r="E19" s="6"/>
      <c r="F19" s="77">
        <f ca="1">'Battery Design'!F8/'Cost Input'!$E$4*100/$E$16*100</f>
        <v>5.0694181773505171</v>
      </c>
      <c r="G19" s="77">
        <f ca="1">'Battery Design'!G8/'Cost Input'!$E$4*100/$E$16*100</f>
        <v>5.0553568954585204</v>
      </c>
      <c r="H19" s="77">
        <f ca="1">'Battery Design'!H8/'Cost Input'!$E$4*100/$E$16*100</f>
        <v>5.0351651800264063</v>
      </c>
      <c r="I19" s="77">
        <f ca="1">'Battery Design'!I8/'Cost Input'!$E$4*100/$E$16*100</f>
        <v>5.0078072984226534</v>
      </c>
      <c r="J19" s="77">
        <f ca="1">'Battery Design'!J8/'Cost Input'!$E$4*100/$E$16*100</f>
        <v>5.0398538406638922</v>
      </c>
      <c r="K19" s="77">
        <f ca="1">'Battery Design'!K8/'Cost Input'!$E$4*100/$E$16*100</f>
        <v>4.9997422937721847</v>
      </c>
      <c r="L19" s="77">
        <f ca="1">'Battery Design'!L8/'Cost Input'!$E$4*100/$E$16*100</f>
        <v>4.9076131994803234</v>
      </c>
      <c r="M19" s="77">
        <f ca="1">'Battery Design'!M8/'Cost Input'!$E$4*100/$E$16*100</f>
        <v>4.7913803561042885</v>
      </c>
      <c r="N19" s="77">
        <f ca="1">'Battery Design'!N8/'Cost Input'!$E$4*100/$E$16*100</f>
        <v>4.7213613441383435</v>
      </c>
      <c r="O19" s="77">
        <f ca="1">'Battery Design'!O8/'Cost Input'!$E$4*100/$E$16*100</f>
        <v>4.6615417589612651</v>
      </c>
    </row>
    <row r="20" spans="1:15" x14ac:dyDescent="0.2">
      <c r="A20" s="7" t="s">
        <v>38</v>
      </c>
      <c r="B20" s="7"/>
      <c r="C20" s="7"/>
      <c r="E20" s="6"/>
      <c r="F20" s="77">
        <f t="shared" ref="F20:K20" ca="1" si="3">96/4*F19</f>
        <v>121.66603625641241</v>
      </c>
      <c r="G20" s="77">
        <f t="shared" ca="1" si="3"/>
        <v>121.3285654910045</v>
      </c>
      <c r="H20" s="77">
        <f t="shared" ca="1" si="3"/>
        <v>120.84396432063375</v>
      </c>
      <c r="I20" s="77">
        <f t="shared" ca="1" si="3"/>
        <v>120.18737516214368</v>
      </c>
      <c r="J20" s="77">
        <f t="shared" ca="1" si="3"/>
        <v>120.95649217593342</v>
      </c>
      <c r="K20" s="77">
        <f t="shared" ca="1" si="3"/>
        <v>119.99381505053243</v>
      </c>
      <c r="L20" s="77">
        <f t="shared" ref="L20:O20" ca="1" si="4">96/4*L19</f>
        <v>117.78271678752776</v>
      </c>
      <c r="M20" s="77">
        <f t="shared" ca="1" si="4"/>
        <v>114.99312854650293</v>
      </c>
      <c r="N20" s="77">
        <f t="shared" ca="1" si="4"/>
        <v>113.31267225932024</v>
      </c>
      <c r="O20" s="77">
        <f t="shared" ca="1" si="4"/>
        <v>111.87700221507036</v>
      </c>
    </row>
    <row r="21" spans="1:15" x14ac:dyDescent="0.2">
      <c r="A21" s="7" t="s">
        <v>361</v>
      </c>
      <c r="B21" s="7"/>
      <c r="C21" s="7"/>
      <c r="E21" s="6"/>
      <c r="F21" s="77">
        <f t="shared" ref="F21:K21" ca="1" si="5">SUM(F17:F19)</f>
        <v>224.45779805601916</v>
      </c>
      <c r="G21" s="77">
        <f t="shared" ca="1" si="5"/>
        <v>223.8352089813678</v>
      </c>
      <c r="H21" s="77">
        <f t="shared" ca="1" si="5"/>
        <v>222.94118370541543</v>
      </c>
      <c r="I21" s="77">
        <f t="shared" ca="1" si="5"/>
        <v>221.72986326397543</v>
      </c>
      <c r="J21" s="77">
        <f t="shared" ca="1" si="5"/>
        <v>223.14878276431855</v>
      </c>
      <c r="K21" s="77">
        <f t="shared" ca="1" si="5"/>
        <v>221.37277037453472</v>
      </c>
      <c r="L21" s="77">
        <f t="shared" ref="L21:O21" ca="1" si="6">SUM(L17:L19)</f>
        <v>217.29358556117128</v>
      </c>
      <c r="M21" s="77">
        <f t="shared" ca="1" si="6"/>
        <v>212.14716299880968</v>
      </c>
      <c r="N21" s="77">
        <f t="shared" ca="1" si="6"/>
        <v>209.04694267803501</v>
      </c>
      <c r="O21" s="77">
        <f t="shared" ca="1" si="6"/>
        <v>206.39832070609856</v>
      </c>
    </row>
    <row r="22" spans="1:15" x14ac:dyDescent="0.2">
      <c r="A22" s="7" t="s">
        <v>209</v>
      </c>
      <c r="B22" s="7"/>
      <c r="C22" s="7"/>
      <c r="E22" s="6">
        <f>'Cost Input'!E8</f>
        <v>92.2</v>
      </c>
      <c r="F22" s="77"/>
      <c r="G22" s="77"/>
      <c r="H22" s="77"/>
      <c r="I22" s="77"/>
      <c r="J22" s="77"/>
      <c r="K22" s="77"/>
      <c r="L22" s="77"/>
      <c r="M22" s="77"/>
      <c r="N22" s="77"/>
      <c r="O22" s="77"/>
    </row>
    <row r="23" spans="1:15" x14ac:dyDescent="0.2">
      <c r="A23" s="7" t="s">
        <v>30</v>
      </c>
      <c r="B23" s="7"/>
      <c r="C23" s="7"/>
      <c r="E23" s="136"/>
      <c r="F23" s="77">
        <f ca="1">'Battery Design'!F15/$E$22*100/'Cost Input'!$E$4*100</f>
        <v>90.064239500305746</v>
      </c>
      <c r="G23" s="77">
        <f ca="1">'Battery Design'!G15/$E$22*100/'Cost Input'!$E$4*100</f>
        <v>89.814424113996964</v>
      </c>
      <c r="H23" s="77">
        <f ca="1">'Battery Design'!H15/$E$22*100/'Cost Input'!$E$4*100</f>
        <v>89.455694289191598</v>
      </c>
      <c r="I23" s="77">
        <f ca="1">'Battery Design'!I15/$E$22*100/'Cost Input'!$E$4*100</f>
        <v>88.96964900453348</v>
      </c>
      <c r="J23" s="77">
        <f ca="1">'Battery Design'!J15/$E$22*100/'Cost Input'!$E$4*100</f>
        <v>89.538993918447858</v>
      </c>
      <c r="K23" s="77">
        <f ca="1">'Battery Design'!K15/$E$22*100/'Cost Input'!$E$4*100</f>
        <v>88.826364610780985</v>
      </c>
      <c r="L23" s="77">
        <f ca="1">'Battery Design'!L15/$E$22*100/'Cost Input'!$E$4*100</f>
        <v>87.189581744787375</v>
      </c>
      <c r="M23" s="77">
        <f ca="1">'Battery Design'!M15/$E$22*100/'Cost Input'!$E$4*100</f>
        <v>85.124567126268275</v>
      </c>
      <c r="N23" s="77">
        <f ca="1">'Battery Design'!N15/$E$22*100/'Cost Input'!$E$4*100</f>
        <v>83.880596153140189</v>
      </c>
      <c r="O23" s="77">
        <f ca="1">'Battery Design'!O15/$E$22*100/'Cost Input'!$E$4*100</f>
        <v>82.817830120094115</v>
      </c>
    </row>
    <row r="24" spans="1:15" x14ac:dyDescent="0.2">
      <c r="A24" s="7" t="s">
        <v>34</v>
      </c>
      <c r="B24" s="7"/>
      <c r="C24" s="7"/>
      <c r="E24" s="136"/>
      <c r="F24" s="77">
        <f ca="1">'Battery Design'!F16/$E$22*100/'Cost Input'!$E$4*100</f>
        <v>0</v>
      </c>
      <c r="G24" s="77">
        <f ca="1">'Battery Design'!G16/$E$22*100/'Cost Input'!$E$4*100</f>
        <v>0</v>
      </c>
      <c r="H24" s="77">
        <f ca="1">'Battery Design'!H16/$E$22*100/'Cost Input'!$E$4*100</f>
        <v>0</v>
      </c>
      <c r="I24" s="77">
        <f ca="1">'Battery Design'!I16/$E$22*100/'Cost Input'!$E$4*100</f>
        <v>0</v>
      </c>
      <c r="J24" s="77">
        <f ca="1">'Battery Design'!J16/$E$22*100/'Cost Input'!$E$4*100</f>
        <v>0</v>
      </c>
      <c r="K24" s="77">
        <f ca="1">'Battery Design'!K16/$E$22*100/'Cost Input'!$E$4*100</f>
        <v>0</v>
      </c>
      <c r="L24" s="77">
        <f ca="1">'Battery Design'!L16/$E$22*100/'Cost Input'!$E$4*100</f>
        <v>0</v>
      </c>
      <c r="M24" s="77">
        <f ca="1">'Battery Design'!M16/$E$22*100/'Cost Input'!$E$4*100</f>
        <v>0</v>
      </c>
      <c r="N24" s="77">
        <f ca="1">'Battery Design'!N16/$E$22*100/'Cost Input'!$E$4*100</f>
        <v>0</v>
      </c>
      <c r="O24" s="77">
        <f ca="1">'Battery Design'!O16/$E$22*100/'Cost Input'!$E$4*100</f>
        <v>0</v>
      </c>
    </row>
    <row r="25" spans="1:15" x14ac:dyDescent="0.2">
      <c r="A25" s="7" t="s">
        <v>296</v>
      </c>
      <c r="B25" s="7"/>
      <c r="C25" s="7"/>
      <c r="E25" s="136"/>
      <c r="F25" s="77">
        <f ca="1">'Battery Design'!F17/$E$22*100/'Cost Input'!$E$4*100</f>
        <v>0</v>
      </c>
      <c r="G25" s="77">
        <f ca="1">'Battery Design'!G17/$E$22*100/'Cost Input'!$E$4*100</f>
        <v>0</v>
      </c>
      <c r="H25" s="77">
        <f ca="1">'Battery Design'!H17/$E$22*100/'Cost Input'!$E$4*100</f>
        <v>0</v>
      </c>
      <c r="I25" s="77">
        <f ca="1">'Battery Design'!I17/$E$22*100/'Cost Input'!$E$4*100</f>
        <v>0</v>
      </c>
      <c r="J25" s="77">
        <f ca="1">'Battery Design'!J17/$E$22*100/'Cost Input'!$E$4*100</f>
        <v>0</v>
      </c>
      <c r="K25" s="77">
        <f ca="1">'Battery Design'!K17/$E$22*100/'Cost Input'!$E$4*100</f>
        <v>0</v>
      </c>
      <c r="L25" s="77">
        <f ca="1">'Battery Design'!L17/$E$22*100/'Cost Input'!$E$4*100</f>
        <v>0</v>
      </c>
      <c r="M25" s="77">
        <f ca="1">'Battery Design'!M17/$E$22*100/'Cost Input'!$E$4*100</f>
        <v>0</v>
      </c>
      <c r="N25" s="77">
        <f ca="1">'Battery Design'!N17/$E$22*100/'Cost Input'!$E$4*100</f>
        <v>0</v>
      </c>
      <c r="O25" s="77">
        <f ca="1">'Battery Design'!O17/$E$22*100/'Cost Input'!$E$4*100</f>
        <v>0</v>
      </c>
    </row>
    <row r="26" spans="1:15" x14ac:dyDescent="0.2">
      <c r="A26" s="7" t="s">
        <v>283</v>
      </c>
      <c r="B26" s="7"/>
      <c r="C26" s="7"/>
      <c r="E26" s="136"/>
      <c r="F26" s="77">
        <f t="shared" ref="F26:K26" ca="1" si="7">96/4*F25</f>
        <v>0</v>
      </c>
      <c r="G26" s="77">
        <f t="shared" ca="1" si="7"/>
        <v>0</v>
      </c>
      <c r="H26" s="77">
        <f t="shared" ca="1" si="7"/>
        <v>0</v>
      </c>
      <c r="I26" s="77">
        <f t="shared" ca="1" si="7"/>
        <v>0</v>
      </c>
      <c r="J26" s="77">
        <f t="shared" ca="1" si="7"/>
        <v>0</v>
      </c>
      <c r="K26" s="77">
        <f t="shared" ca="1" si="7"/>
        <v>0</v>
      </c>
      <c r="L26" s="77">
        <f t="shared" ref="L26:O26" ca="1" si="8">96/4*L25</f>
        <v>0</v>
      </c>
      <c r="M26" s="77">
        <f t="shared" ca="1" si="8"/>
        <v>0</v>
      </c>
      <c r="N26" s="77">
        <f t="shared" ca="1" si="8"/>
        <v>0</v>
      </c>
      <c r="O26" s="77">
        <f t="shared" ca="1" si="8"/>
        <v>0</v>
      </c>
    </row>
    <row r="27" spans="1:15" x14ac:dyDescent="0.2">
      <c r="A27" s="7" t="s">
        <v>361</v>
      </c>
      <c r="B27" s="7"/>
      <c r="C27" s="7"/>
      <c r="E27" s="136"/>
      <c r="F27" s="77">
        <f t="shared" ref="F27:K27" ca="1" si="9">SUM(F23:F25)</f>
        <v>90.064239500305746</v>
      </c>
      <c r="G27" s="77">
        <f t="shared" ca="1" si="9"/>
        <v>89.814424113996964</v>
      </c>
      <c r="H27" s="77">
        <f t="shared" ca="1" si="9"/>
        <v>89.455694289191598</v>
      </c>
      <c r="I27" s="77">
        <f t="shared" ca="1" si="9"/>
        <v>88.96964900453348</v>
      </c>
      <c r="J27" s="77">
        <f t="shared" ca="1" si="9"/>
        <v>89.538993918447858</v>
      </c>
      <c r="K27" s="77">
        <f t="shared" ca="1" si="9"/>
        <v>88.826364610780985</v>
      </c>
      <c r="L27" s="77">
        <f t="shared" ref="L27:O27" ca="1" si="10">SUM(L23:L25)</f>
        <v>87.189581744787375</v>
      </c>
      <c r="M27" s="77">
        <f t="shared" ca="1" si="10"/>
        <v>85.124567126268275</v>
      </c>
      <c r="N27" s="77">
        <f t="shared" ca="1" si="10"/>
        <v>83.880596153140189</v>
      </c>
      <c r="O27" s="77">
        <f t="shared" ca="1" si="10"/>
        <v>82.817830120094115</v>
      </c>
    </row>
    <row r="28" spans="1:15" ht="14.25" x14ac:dyDescent="0.2">
      <c r="A28" s="7" t="s">
        <v>80</v>
      </c>
      <c r="B28" s="7"/>
      <c r="C28" s="7"/>
      <c r="E28" s="6">
        <f>'Cost Input'!E9</f>
        <v>90.2</v>
      </c>
      <c r="F28" s="54">
        <f ca="1">'Battery Design'!F21/$E28*100/'Cost Input'!$E$4*100</f>
        <v>5.3956992924649043</v>
      </c>
      <c r="G28" s="54">
        <f ca="1">'Battery Design'!G21/$E28*100/'Cost Input'!$E$4*100</f>
        <v>3.1783763908230367</v>
      </c>
      <c r="H28" s="54">
        <f ca="1">'Battery Design'!H21/$E28*100/'Cost Input'!$E$4*100</f>
        <v>1.952402996375886</v>
      </c>
      <c r="I28" s="54">
        <f ca="1">'Battery Design'!I21/$E28*100/'Cost Input'!$E$4*100</f>
        <v>1.2705219505683389</v>
      </c>
      <c r="J28" s="54">
        <f ca="1">'Battery Design'!J21/$E28*100/'Cost Input'!$E$4*100</f>
        <v>0.88038551581552082</v>
      </c>
      <c r="K28" s="54">
        <f ca="1">'Battery Design'!K21/$E28*100/'Cost Input'!$E$4*100</f>
        <v>0.70778565651353353</v>
      </c>
      <c r="L28" s="54">
        <f ca="1">'Battery Design'!L21/$E28*100/'Cost Input'!$E$4*100</f>
        <v>0.69460295526633808</v>
      </c>
      <c r="M28" s="54">
        <f ca="1">'Battery Design'!M21/$E28*100/'Cost Input'!$E$4*100</f>
        <v>0.67613372604477506</v>
      </c>
      <c r="N28" s="54">
        <f ca="1">'Battery Design'!N21/$E28*100/'Cost Input'!$E$4*100</f>
        <v>0.66619790735193463</v>
      </c>
      <c r="O28" s="54">
        <f ca="1">'Battery Design'!O21/$E28*100/'Cost Input'!$E$4*100</f>
        <v>0.65770499546119832</v>
      </c>
    </row>
    <row r="29" spans="1:15" ht="14.25" x14ac:dyDescent="0.2">
      <c r="A29" s="7" t="s">
        <v>81</v>
      </c>
      <c r="B29" s="7"/>
      <c r="C29" s="7"/>
      <c r="E29" s="6">
        <f>'Cost Input'!E10</f>
        <v>90.2</v>
      </c>
      <c r="F29" s="54">
        <f ca="1">'Battery Design'!F22/$E29*100/'Cost Input'!$E$4*100</f>
        <v>3.4499626545134658</v>
      </c>
      <c r="G29" s="54">
        <f ca="1">'Battery Design'!G22/$E29*100/'Cost Input'!$E$4*100</f>
        <v>2.0129770721999272</v>
      </c>
      <c r="H29" s="54">
        <f ca="1">'Battery Design'!H22/$E29*100/'Cost Input'!$E$4*100</f>
        <v>1.2375651996808972</v>
      </c>
      <c r="I29" s="54">
        <f ca="1">'Battery Design'!I22/$E29*100/'Cost Input'!$E$4*100</f>
        <v>0.81405257448163082</v>
      </c>
      <c r="J29" s="54">
        <f ca="1">'Battery Design'!J22/$E29*100/'Cost Input'!$E$4*100</f>
        <v>0.57733161011070644</v>
      </c>
      <c r="K29" s="54">
        <f ca="1">'Battery Design'!K22/$E29*100/'Cost Input'!$E$4*100</f>
        <v>0.46974975696331134</v>
      </c>
      <c r="L29" s="54">
        <f ca="1">'Battery Design'!L22/$E29*100/'Cost Input'!$E$4*100</f>
        <v>0.46163144484473284</v>
      </c>
      <c r="M29" s="54">
        <f ca="1">'Battery Design'!M22/$E29*100/'Cost Input'!$E$4*100</f>
        <v>0.45644395665557536</v>
      </c>
      <c r="N29" s="54">
        <f ca="1">'Battery Design'!N22/$E29*100/'Cost Input'!$E$4*100</f>
        <v>0.45016757923994494</v>
      </c>
      <c r="O29" s="54">
        <f ca="1">'Battery Design'!O22/$E29*100/'Cost Input'!$E$4*100</f>
        <v>0.44480322513159415</v>
      </c>
    </row>
    <row r="30" spans="1:15" ht="14.25" x14ac:dyDescent="0.2">
      <c r="A30" s="7" t="s">
        <v>82</v>
      </c>
      <c r="B30" s="7"/>
      <c r="C30" s="7"/>
      <c r="E30" s="6">
        <f>'Cost Input'!E11</f>
        <v>98</v>
      </c>
      <c r="F30" s="54">
        <f ca="1">'Battery Design'!F23/$E30*100/'Cost Input'!$E$4*100</f>
        <v>5.5079008015962927</v>
      </c>
      <c r="G30" s="54">
        <f ca="1">'Battery Design'!G23/$E30*100/'Cost Input'!$E$4*100</f>
        <v>3.1693898941727827</v>
      </c>
      <c r="H30" s="54">
        <f ca="1">'Battery Design'!H23/$E30*100/'Cost Input'!$E$4*100</f>
        <v>1.9078693494141887</v>
      </c>
      <c r="I30" s="54">
        <f ca="1">'Battery Design'!I23/$E30*100/'Cost Input'!$E$4*100</f>
        <v>1.2197271488780015</v>
      </c>
      <c r="J30" s="54">
        <f ca="1">'Battery Design'!J23/$E30*100/'Cost Input'!$E$4*100</f>
        <v>0.8342856990569737</v>
      </c>
      <c r="K30" s="54">
        <f ca="1">'Battery Design'!K23/$E30*100/'Cost Input'!$E$4*100</f>
        <v>0.66438406474950351</v>
      </c>
      <c r="L30" s="54">
        <f ca="1">'Battery Design'!L23/$E30*100/'Cost Input'!$E$4*100</f>
        <v>0.65214161332884502</v>
      </c>
      <c r="M30" s="54">
        <f ca="1">'Battery Design'!M23/$E30*100/'Cost Input'!$E$4*100</f>
        <v>0.6366961674634144</v>
      </c>
      <c r="N30" s="54">
        <f ca="1">'Battery Design'!N23/$E30*100/'Cost Input'!$E$4*100</f>
        <v>0.62739178474800428</v>
      </c>
      <c r="O30" s="54">
        <f ca="1">'Battery Design'!O23/$E30*100/'Cost Input'!$E$4*100</f>
        <v>0.6194427392139813</v>
      </c>
    </row>
    <row r="31" spans="1:15" x14ac:dyDescent="0.2">
      <c r="A31" s="7" t="s">
        <v>83</v>
      </c>
      <c r="B31" s="7"/>
      <c r="C31" s="7"/>
      <c r="E31" s="6">
        <f>'Cost Input'!E12</f>
        <v>94</v>
      </c>
      <c r="F31" s="54">
        <f ca="1">'Battery Design'!F24/$E31*100/'Cost Input'!$E$4*100</f>
        <v>4.715096705804285E-2</v>
      </c>
      <c r="G31" s="54">
        <f ca="1">'Battery Design'!G24/$E31*100/'Cost Input'!$E$4*100</f>
        <v>4.4810615706517426E-2</v>
      </c>
      <c r="H31" s="54">
        <f ca="1">'Battery Design'!H24/$E31*100/'Cost Input'!$E$4*100</f>
        <v>4.3397162079844974E-2</v>
      </c>
      <c r="I31" s="54">
        <f ca="1">'Battery Design'!I24/$E31*100/'Cost Input'!$E$4*100</f>
        <v>4.2445747323890538E-2</v>
      </c>
      <c r="J31" s="54">
        <f ca="1">'Battery Design'!J24/$E31*100/'Cost Input'!$E$4*100</f>
        <v>4.2302411148154757E-2</v>
      </c>
      <c r="K31" s="54">
        <f ca="1">'Battery Design'!K24/$E31*100/'Cost Input'!$E$4*100</f>
        <v>4.1753812522960287E-2</v>
      </c>
      <c r="L31" s="54">
        <f ca="1">'Battery Design'!L24/$E31*100/'Cost Input'!$E$4*100</f>
        <v>4.0980013695404667E-2</v>
      </c>
      <c r="M31" s="54">
        <f ca="1">'Battery Design'!M24/$E31*100/'Cost Input'!$E$4*100</f>
        <v>4.0057607099713198E-2</v>
      </c>
      <c r="N31" s="54">
        <f ca="1">'Battery Design'!N24/$E31*100/'Cost Input'!$E$4*100</f>
        <v>3.9469116689225869E-2</v>
      </c>
      <c r="O31" s="54">
        <f ca="1">'Battery Design'!O24/$E31*100/'Cost Input'!$E$4*100</f>
        <v>3.8966377728352757E-2</v>
      </c>
    </row>
    <row r="32" spans="1:15" ht="15" x14ac:dyDescent="0.25">
      <c r="A32" s="258" t="s">
        <v>84</v>
      </c>
      <c r="B32" s="5"/>
      <c r="C32" s="5"/>
      <c r="D32" s="3"/>
      <c r="F32" s="78"/>
      <c r="G32" s="78"/>
      <c r="H32" s="78"/>
      <c r="I32" s="78"/>
      <c r="J32" s="78"/>
      <c r="K32" s="78"/>
      <c r="L32" s="78"/>
      <c r="M32" s="78"/>
      <c r="N32" s="78"/>
      <c r="O32" s="78"/>
    </row>
    <row r="33" spans="1:15" x14ac:dyDescent="0.2">
      <c r="A33" s="7" t="s">
        <v>111</v>
      </c>
      <c r="B33" s="7"/>
      <c r="C33" s="7"/>
      <c r="D33" s="3"/>
      <c r="F33" s="78"/>
      <c r="G33" s="78"/>
      <c r="H33" s="78"/>
      <c r="I33" s="78"/>
      <c r="J33" s="78"/>
      <c r="K33" s="78"/>
      <c r="L33" s="78"/>
      <c r="M33" s="78"/>
      <c r="N33" s="78"/>
      <c r="O33" s="78"/>
    </row>
    <row r="34" spans="1:15" x14ac:dyDescent="0.2">
      <c r="A34" s="7" t="s">
        <v>85</v>
      </c>
      <c r="B34" s="7"/>
      <c r="C34" s="7"/>
      <c r="F34" s="79">
        <f t="shared" ref="F34:J36" ca="1" si="11">F17*F$7/1000</f>
        <v>4763534.6398723358</v>
      </c>
      <c r="G34" s="79">
        <f t="shared" ca="1" si="11"/>
        <v>4750321.8014266072</v>
      </c>
      <c r="H34" s="79">
        <f t="shared" ca="1" si="11"/>
        <v>4731348.4335694341</v>
      </c>
      <c r="I34" s="79">
        <f t="shared" ca="1" si="11"/>
        <v>4705641.2987192292</v>
      </c>
      <c r="J34" s="79">
        <f t="shared" ca="1" si="11"/>
        <v>4735754.1851935238</v>
      </c>
      <c r="K34" s="79">
        <f t="shared" ref="K34:L34" ca="1" si="12">K17*K$7/1000</f>
        <v>4698062.9282496646</v>
      </c>
      <c r="L34" s="79">
        <f t="shared" ca="1" si="12"/>
        <v>4611492.8098167675</v>
      </c>
      <c r="M34" s="79">
        <f t="shared" ref="M34:O34" ca="1" si="13">M17*M$7/1000</f>
        <v>4502273.3380071484</v>
      </c>
      <c r="N34" s="79">
        <f t="shared" ca="1" si="13"/>
        <v>4436479.2020174544</v>
      </c>
      <c r="O34" s="79">
        <f t="shared" ca="1" si="13"/>
        <v>4380269.0697764847</v>
      </c>
    </row>
    <row r="35" spans="1:15" x14ac:dyDescent="0.2">
      <c r="A35" s="7" t="s">
        <v>264</v>
      </c>
      <c r="B35" s="7"/>
      <c r="C35" s="7"/>
      <c r="F35" s="79">
        <f t="shared" ca="1" si="11"/>
        <v>501786.47721571213</v>
      </c>
      <c r="G35" s="79">
        <f t="shared" ca="1" si="11"/>
        <v>500394.64863521623</v>
      </c>
      <c r="H35" s="79">
        <f t="shared" ca="1" si="11"/>
        <v>498396.01103990193</v>
      </c>
      <c r="I35" s="79">
        <f t="shared" ca="1" si="11"/>
        <v>495688.04445403873</v>
      </c>
      <c r="J35" s="79">
        <f t="shared" ca="1" si="11"/>
        <v>498860.10897418886</v>
      </c>
      <c r="K35" s="79">
        <f t="shared" ref="K35:L35" ca="1" si="14">K18*K$7/1000</f>
        <v>494889.74568863673</v>
      </c>
      <c r="L35" s="79">
        <f t="shared" ca="1" si="14"/>
        <v>485770.52686381497</v>
      </c>
      <c r="M35" s="79">
        <f t="shared" ref="M35:O35" ca="1" si="15">M18*M$7/1000</f>
        <v>474265.44541778049</v>
      </c>
      <c r="N35" s="79">
        <f t="shared" ca="1" si="15"/>
        <v>467334.74999606668</v>
      </c>
      <c r="O35" s="79">
        <f t="shared" ca="1" si="15"/>
        <v>461413.62495480996</v>
      </c>
    </row>
    <row r="36" spans="1:15" x14ac:dyDescent="0.2">
      <c r="A36" s="7" t="s">
        <v>87</v>
      </c>
      <c r="B36" s="7"/>
      <c r="C36" s="7"/>
      <c r="F36" s="79">
        <f t="shared" ca="1" si="11"/>
        <v>121666.03625641242</v>
      </c>
      <c r="G36" s="79">
        <f t="shared" ca="1" si="11"/>
        <v>121328.5654910045</v>
      </c>
      <c r="H36" s="79">
        <f t="shared" ca="1" si="11"/>
        <v>120843.96432063375</v>
      </c>
      <c r="I36" s="79">
        <f t="shared" ca="1" si="11"/>
        <v>120187.37516214368</v>
      </c>
      <c r="J36" s="79">
        <f t="shared" ca="1" si="11"/>
        <v>120956.49217593341</v>
      </c>
      <c r="K36" s="79">
        <f t="shared" ref="K36:L36" ca="1" si="16">K19*K$7/1000</f>
        <v>119993.81505053243</v>
      </c>
      <c r="L36" s="79">
        <f t="shared" ca="1" si="16"/>
        <v>117782.71678752775</v>
      </c>
      <c r="M36" s="79">
        <f t="shared" ref="M36:O36" ca="1" si="17">M19*M$7/1000</f>
        <v>114993.12854650292</v>
      </c>
      <c r="N36" s="79">
        <f t="shared" ca="1" si="17"/>
        <v>113312.67225932024</v>
      </c>
      <c r="O36" s="79">
        <f t="shared" ca="1" si="17"/>
        <v>111877.00221507037</v>
      </c>
    </row>
    <row r="37" spans="1:15" x14ac:dyDescent="0.2">
      <c r="A37" s="7" t="s">
        <v>214</v>
      </c>
      <c r="B37" s="7"/>
      <c r="C37" s="7"/>
      <c r="F37" s="79">
        <f ca="1">F20*F$7/1000*(1-'Cost Input'!$E13/100)</f>
        <v>14599.924350769503</v>
      </c>
      <c r="G37" s="79">
        <f ca="1">G20*G$7/1000*(1-'Cost Input'!$E13/100)</f>
        <v>14559.427858920553</v>
      </c>
      <c r="H37" s="79">
        <f ca="1">H20*H$7/1000*(1-'Cost Input'!$E13/100)</f>
        <v>14501.275718476063</v>
      </c>
      <c r="I37" s="79">
        <f ca="1">I20*I$7/1000*(1-'Cost Input'!$E13/100)</f>
        <v>14422.485019457255</v>
      </c>
      <c r="J37" s="79">
        <f ca="1">J20*J$7/1000*(1-'Cost Input'!$E13/100)</f>
        <v>14514.779061112024</v>
      </c>
      <c r="K37" s="79">
        <f ca="1">K20*K$7/1000*(1-'Cost Input'!$E13/100)</f>
        <v>14399.257806063906</v>
      </c>
      <c r="L37" s="79">
        <f ca="1">L20*L$7/1000*(1-'Cost Input'!$E13/100)</f>
        <v>14133.926014503344</v>
      </c>
      <c r="M37" s="79">
        <f ca="1">M20*M$7/1000*(1-'Cost Input'!$E13/100)</f>
        <v>13799.175425580363</v>
      </c>
      <c r="N37" s="79">
        <f ca="1">N20*N$7/1000*(1-'Cost Input'!$E13/100)</f>
        <v>13597.52067111844</v>
      </c>
      <c r="O37" s="79">
        <f ca="1">O20*O$7/1000*(1-'Cost Input'!$E13/100)</f>
        <v>13425.240265808456</v>
      </c>
    </row>
    <row r="38" spans="1:15" x14ac:dyDescent="0.2">
      <c r="A38" s="7" t="s">
        <v>88</v>
      </c>
      <c r="B38" s="7"/>
      <c r="C38" s="7"/>
      <c r="F38" s="79"/>
      <c r="G38" s="79"/>
      <c r="H38" s="79"/>
      <c r="I38" s="79"/>
      <c r="J38" s="79"/>
      <c r="K38" s="79"/>
      <c r="L38" s="79"/>
      <c r="M38" s="79"/>
      <c r="N38" s="79"/>
      <c r="O38" s="79"/>
    </row>
    <row r="39" spans="1:15" x14ac:dyDescent="0.2">
      <c r="A39" s="7" t="s">
        <v>89</v>
      </c>
      <c r="B39" s="7"/>
      <c r="C39" s="7"/>
      <c r="F39" s="79">
        <f t="shared" ref="F39:J41" ca="1" si="18">F23*F$7/1000</f>
        <v>2161541.748007338</v>
      </c>
      <c r="G39" s="79">
        <f t="shared" ca="1" si="18"/>
        <v>2155546.1787359272</v>
      </c>
      <c r="H39" s="79">
        <f t="shared" ca="1" si="18"/>
        <v>2146936.6629405981</v>
      </c>
      <c r="I39" s="79">
        <f t="shared" ca="1" si="18"/>
        <v>2135271.5761088035</v>
      </c>
      <c r="J39" s="79">
        <f t="shared" ca="1" si="18"/>
        <v>2148935.8540427485</v>
      </c>
      <c r="K39" s="79">
        <f t="shared" ref="K39:L39" ca="1" si="19">K23*K$7/1000</f>
        <v>2131832.7506587435</v>
      </c>
      <c r="L39" s="79">
        <f t="shared" ca="1" si="19"/>
        <v>2092549.9618748969</v>
      </c>
      <c r="M39" s="79">
        <f t="shared" ref="M39:O39" ca="1" si="20">M23*M$7/1000</f>
        <v>2042989.6110304387</v>
      </c>
      <c r="N39" s="79">
        <f t="shared" ca="1" si="20"/>
        <v>2013134.3076753644</v>
      </c>
      <c r="O39" s="79">
        <f t="shared" ca="1" si="20"/>
        <v>1987627.9228822587</v>
      </c>
    </row>
    <row r="40" spans="1:15" x14ac:dyDescent="0.2">
      <c r="A40" s="7" t="s">
        <v>86</v>
      </c>
      <c r="B40" s="7"/>
      <c r="C40" s="7"/>
      <c r="F40" s="79">
        <f t="shared" ca="1" si="18"/>
        <v>0</v>
      </c>
      <c r="G40" s="79">
        <f t="shared" ca="1" si="18"/>
        <v>0</v>
      </c>
      <c r="H40" s="79">
        <f t="shared" ca="1" si="18"/>
        <v>0</v>
      </c>
      <c r="I40" s="79">
        <f t="shared" ca="1" si="18"/>
        <v>0</v>
      </c>
      <c r="J40" s="79">
        <f t="shared" ca="1" si="18"/>
        <v>0</v>
      </c>
      <c r="K40" s="79">
        <f t="shared" ref="K40:L40" ca="1" si="21">K24*K$7/1000</f>
        <v>0</v>
      </c>
      <c r="L40" s="79">
        <f t="shared" ca="1" si="21"/>
        <v>0</v>
      </c>
      <c r="M40" s="79">
        <f t="shared" ref="M40:O40" ca="1" si="22">M24*M$7/1000</f>
        <v>0</v>
      </c>
      <c r="N40" s="79">
        <f t="shared" ca="1" si="22"/>
        <v>0</v>
      </c>
      <c r="O40" s="79">
        <f t="shared" ca="1" si="22"/>
        <v>0</v>
      </c>
    </row>
    <row r="41" spans="1:15" x14ac:dyDescent="0.2">
      <c r="A41" s="7" t="s">
        <v>87</v>
      </c>
      <c r="B41" s="7"/>
      <c r="C41" s="7"/>
      <c r="F41" s="79">
        <f t="shared" ca="1" si="18"/>
        <v>0</v>
      </c>
      <c r="G41" s="79">
        <f t="shared" ca="1" si="18"/>
        <v>0</v>
      </c>
      <c r="H41" s="79">
        <f t="shared" ca="1" si="18"/>
        <v>0</v>
      </c>
      <c r="I41" s="79">
        <f t="shared" ca="1" si="18"/>
        <v>0</v>
      </c>
      <c r="J41" s="79">
        <f t="shared" ca="1" si="18"/>
        <v>0</v>
      </c>
      <c r="K41" s="79">
        <f t="shared" ref="K41:L41" ca="1" si="23">K25*K$7/1000</f>
        <v>0</v>
      </c>
      <c r="L41" s="79">
        <f t="shared" ca="1" si="23"/>
        <v>0</v>
      </c>
      <c r="M41" s="79">
        <f t="shared" ref="M41:O41" ca="1" si="24">M25*M$7/1000</f>
        <v>0</v>
      </c>
      <c r="N41" s="79">
        <f t="shared" ca="1" si="24"/>
        <v>0</v>
      </c>
      <c r="O41" s="79">
        <f t="shared" ca="1" si="24"/>
        <v>0</v>
      </c>
    </row>
    <row r="42" spans="1:15" ht="14.25" x14ac:dyDescent="0.2">
      <c r="A42" s="7" t="s">
        <v>80</v>
      </c>
      <c r="B42" s="7"/>
      <c r="C42" s="7"/>
      <c r="F42" s="79">
        <f t="shared" ref="F42:J45" ca="1" si="25">F28*F$7</f>
        <v>129496783.01915771</v>
      </c>
      <c r="G42" s="79">
        <f t="shared" ca="1" si="25"/>
        <v>76281033.379752874</v>
      </c>
      <c r="H42" s="79">
        <f t="shared" ca="1" si="25"/>
        <v>46857671.913021266</v>
      </c>
      <c r="I42" s="79">
        <f t="shared" ca="1" si="25"/>
        <v>30492526.813640136</v>
      </c>
      <c r="J42" s="79">
        <f t="shared" ca="1" si="25"/>
        <v>21129252.3795725</v>
      </c>
      <c r="K42" s="79">
        <f t="shared" ref="K42:L42" ca="1" si="26">K28*K$7</f>
        <v>16986855.756324805</v>
      </c>
      <c r="L42" s="79">
        <f t="shared" ca="1" si="26"/>
        <v>16670470.926392114</v>
      </c>
      <c r="M42" s="79">
        <f t="shared" ref="M42:O42" ca="1" si="27">M28*M$7</f>
        <v>16227209.425074602</v>
      </c>
      <c r="N42" s="79">
        <f t="shared" ca="1" si="27"/>
        <v>15988749.776446432</v>
      </c>
      <c r="O42" s="79">
        <f t="shared" ca="1" si="27"/>
        <v>15784919.89106876</v>
      </c>
    </row>
    <row r="43" spans="1:15" ht="14.25" x14ac:dyDescent="0.2">
      <c r="A43" s="7" t="s">
        <v>81</v>
      </c>
      <c r="B43" s="7"/>
      <c r="C43" s="7"/>
      <c r="F43" s="79">
        <f t="shared" ca="1" si="25"/>
        <v>82799103.708323181</v>
      </c>
      <c r="G43" s="79">
        <f t="shared" ca="1" si="25"/>
        <v>48311449.732798249</v>
      </c>
      <c r="H43" s="79">
        <f t="shared" ca="1" si="25"/>
        <v>29701564.792341534</v>
      </c>
      <c r="I43" s="79">
        <f t="shared" ca="1" si="25"/>
        <v>19537261.78755914</v>
      </c>
      <c r="J43" s="79">
        <f t="shared" ca="1" si="25"/>
        <v>13855958.642656954</v>
      </c>
      <c r="K43" s="79">
        <f t="shared" ref="K43:L43" ca="1" si="28">K29*K$7</f>
        <v>11273994.167119471</v>
      </c>
      <c r="L43" s="79">
        <f t="shared" ca="1" si="28"/>
        <v>11079154.676273588</v>
      </c>
      <c r="M43" s="79">
        <f t="shared" ref="M43:O43" ca="1" si="29">M29*M$7</f>
        <v>10954654.959733808</v>
      </c>
      <c r="N43" s="79">
        <f t="shared" ca="1" si="29"/>
        <v>10804021.901758678</v>
      </c>
      <c r="O43" s="79">
        <f t="shared" ca="1" si="29"/>
        <v>10675277.403158259</v>
      </c>
    </row>
    <row r="44" spans="1:15" ht="14.25" x14ac:dyDescent="0.2">
      <c r="A44" s="7" t="s">
        <v>82</v>
      </c>
      <c r="B44" s="7"/>
      <c r="C44" s="7"/>
      <c r="F44" s="79">
        <f t="shared" ca="1" si="25"/>
        <v>132189619.23831102</v>
      </c>
      <c r="G44" s="79">
        <f t="shared" ca="1" si="25"/>
        <v>76065357.460146785</v>
      </c>
      <c r="H44" s="79">
        <f t="shared" ca="1" si="25"/>
        <v>45788864.385940529</v>
      </c>
      <c r="I44" s="79">
        <f t="shared" ca="1" si="25"/>
        <v>29273451.573072035</v>
      </c>
      <c r="J44" s="79">
        <f t="shared" ca="1" si="25"/>
        <v>20022856.777367368</v>
      </c>
      <c r="K44" s="79">
        <f t="shared" ref="K44:L44" ca="1" si="30">K30*K$7</f>
        <v>15945217.553988084</v>
      </c>
      <c r="L44" s="79">
        <f t="shared" ca="1" si="30"/>
        <v>15651398.71989228</v>
      </c>
      <c r="M44" s="79">
        <f t="shared" ref="M44:O44" ca="1" si="31">M30*M$7</f>
        <v>15280708.019121945</v>
      </c>
      <c r="N44" s="79">
        <f t="shared" ca="1" si="31"/>
        <v>15057402.833952103</v>
      </c>
      <c r="O44" s="79">
        <f t="shared" ca="1" si="31"/>
        <v>14866625.741135551</v>
      </c>
    </row>
    <row r="45" spans="1:15" x14ac:dyDescent="0.2">
      <c r="A45" s="7" t="s">
        <v>83</v>
      </c>
      <c r="B45" s="7"/>
      <c r="C45" s="7"/>
      <c r="F45" s="79">
        <f t="shared" ca="1" si="25"/>
        <v>1131623.2093930284</v>
      </c>
      <c r="G45" s="79">
        <f t="shared" ca="1" si="25"/>
        <v>1075454.7769564183</v>
      </c>
      <c r="H45" s="79">
        <f t="shared" ca="1" si="25"/>
        <v>1041531.8899162794</v>
      </c>
      <c r="I45" s="79">
        <f t="shared" ca="1" si="25"/>
        <v>1018697.9357733729</v>
      </c>
      <c r="J45" s="79">
        <f t="shared" ca="1" si="25"/>
        <v>1015257.8675557142</v>
      </c>
      <c r="K45" s="79">
        <f t="shared" ref="K45:L45" ca="1" si="32">K31*K$7</f>
        <v>1002091.5005510469</v>
      </c>
      <c r="L45" s="79">
        <f t="shared" ca="1" si="32"/>
        <v>983520.32868971198</v>
      </c>
      <c r="M45" s="79">
        <f t="shared" ref="M45:O45" ca="1" si="33">M31*M$7</f>
        <v>961382.5703931168</v>
      </c>
      <c r="N45" s="79">
        <f t="shared" ca="1" si="33"/>
        <v>947258.80054142082</v>
      </c>
      <c r="O45" s="79">
        <f t="shared" ca="1" si="33"/>
        <v>935193.06548046612</v>
      </c>
    </row>
    <row r="46" spans="1:15" x14ac:dyDescent="0.2">
      <c r="A46" s="45" t="s">
        <v>90</v>
      </c>
      <c r="B46" s="45"/>
      <c r="C46" s="45"/>
      <c r="F46" s="79">
        <f>F$7/'Cost Input'!$E4*100</f>
        <v>25263157.894736841</v>
      </c>
      <c r="G46" s="79">
        <f>G$7/'Cost Input'!$E4*100</f>
        <v>25263157.894736841</v>
      </c>
      <c r="H46" s="79">
        <f>H$7/'Cost Input'!$E4*100</f>
        <v>25263157.894736841</v>
      </c>
      <c r="I46" s="79">
        <f>I$7/'Cost Input'!$E4*100</f>
        <v>25263157.894736841</v>
      </c>
      <c r="J46" s="79">
        <f>J$7/'Cost Input'!$E4*100</f>
        <v>25263157.894736841</v>
      </c>
      <c r="K46" s="79">
        <f>K$7/'Cost Input'!$E4*100</f>
        <v>25263157.894736841</v>
      </c>
      <c r="L46" s="79">
        <f>L$7/'Cost Input'!$E4*100</f>
        <v>25263157.894736841</v>
      </c>
      <c r="M46" s="79">
        <f>M$7/'Cost Input'!$E4*100</f>
        <v>25263157.894736841</v>
      </c>
      <c r="N46" s="79">
        <f>N$7/'Cost Input'!$E4*100</f>
        <v>25263157.894736841</v>
      </c>
      <c r="O46" s="79">
        <f>O$7/'Cost Input'!$E4*100</f>
        <v>25263157.894736841</v>
      </c>
    </row>
    <row r="47" spans="1:15" x14ac:dyDescent="0.2">
      <c r="A47" s="45" t="s">
        <v>91</v>
      </c>
      <c r="B47" s="45"/>
      <c r="C47" s="45"/>
      <c r="F47" s="79">
        <f t="shared" ref="F47:J48" si="34">F46</f>
        <v>25263157.894736841</v>
      </c>
      <c r="G47" s="79">
        <f t="shared" si="34"/>
        <v>25263157.894736841</v>
      </c>
      <c r="H47" s="79">
        <f t="shared" si="34"/>
        <v>25263157.894736841</v>
      </c>
      <c r="I47" s="79">
        <f t="shared" si="34"/>
        <v>25263157.894736841</v>
      </c>
      <c r="J47" s="79">
        <f t="shared" si="34"/>
        <v>25263157.894736841</v>
      </c>
      <c r="K47" s="79">
        <f t="shared" ref="K47:L47" si="35">K46</f>
        <v>25263157.894736841</v>
      </c>
      <c r="L47" s="79">
        <f t="shared" si="35"/>
        <v>25263157.894736841</v>
      </c>
      <c r="M47" s="79">
        <f t="shared" ref="M47:O47" si="36">M46</f>
        <v>25263157.894736841</v>
      </c>
      <c r="N47" s="79">
        <f t="shared" si="36"/>
        <v>25263157.894736841</v>
      </c>
      <c r="O47" s="79">
        <f t="shared" si="36"/>
        <v>25263157.894736841</v>
      </c>
    </row>
    <row r="48" spans="1:15" x14ac:dyDescent="0.2">
      <c r="A48" s="45" t="s">
        <v>92</v>
      </c>
      <c r="B48" s="45"/>
      <c r="C48" s="45"/>
      <c r="F48" s="79">
        <f t="shared" si="34"/>
        <v>25263157.894736841</v>
      </c>
      <c r="G48" s="79">
        <f t="shared" si="34"/>
        <v>25263157.894736841</v>
      </c>
      <c r="H48" s="79">
        <f t="shared" si="34"/>
        <v>25263157.894736841</v>
      </c>
      <c r="I48" s="79">
        <f t="shared" si="34"/>
        <v>25263157.894736841</v>
      </c>
      <c r="J48" s="79">
        <f t="shared" si="34"/>
        <v>25263157.894736841</v>
      </c>
      <c r="K48" s="79">
        <f t="shared" ref="K48:L48" si="37">K47</f>
        <v>25263157.894736841</v>
      </c>
      <c r="L48" s="79">
        <f t="shared" si="37"/>
        <v>25263157.894736841</v>
      </c>
      <c r="M48" s="79">
        <f t="shared" ref="M48:O48" si="38">M47</f>
        <v>25263157.894736841</v>
      </c>
      <c r="N48" s="79">
        <f t="shared" si="38"/>
        <v>25263157.894736841</v>
      </c>
      <c r="O48" s="79">
        <f t="shared" si="38"/>
        <v>25263157.894736841</v>
      </c>
    </row>
    <row r="49" spans="1:15" x14ac:dyDescent="0.2">
      <c r="A49" s="48" t="s">
        <v>372</v>
      </c>
      <c r="B49" s="45"/>
      <c r="C49" s="45"/>
      <c r="F49" s="79">
        <f t="shared" ref="F49:K49" si="39">F7</f>
        <v>24000000</v>
      </c>
      <c r="G49" s="79">
        <f t="shared" si="39"/>
        <v>24000000</v>
      </c>
      <c r="H49" s="79">
        <f t="shared" si="39"/>
        <v>24000000</v>
      </c>
      <c r="I49" s="79">
        <f t="shared" si="39"/>
        <v>24000000</v>
      </c>
      <c r="J49" s="79">
        <f t="shared" si="39"/>
        <v>24000000</v>
      </c>
      <c r="K49" s="79">
        <f t="shared" si="39"/>
        <v>24000000</v>
      </c>
      <c r="L49" s="79">
        <f t="shared" ref="L49:O49" si="40">L7</f>
        <v>24000000</v>
      </c>
      <c r="M49" s="79">
        <f t="shared" si="40"/>
        <v>24000000</v>
      </c>
      <c r="N49" s="79">
        <f t="shared" si="40"/>
        <v>24000000</v>
      </c>
      <c r="O49" s="79">
        <f t="shared" si="40"/>
        <v>24000000</v>
      </c>
    </row>
    <row r="50" spans="1:15" x14ac:dyDescent="0.2">
      <c r="A50" s="48" t="s">
        <v>341</v>
      </c>
      <c r="B50" s="45"/>
      <c r="C50" s="45"/>
      <c r="F50" s="79">
        <f t="shared" ref="F50:K50" ca="1" si="41">(F20)*F7/1000</f>
        <v>2919984.8701538979</v>
      </c>
      <c r="G50" s="79">
        <f t="shared" ca="1" si="41"/>
        <v>2911885.5717841079</v>
      </c>
      <c r="H50" s="79">
        <f t="shared" ca="1" si="41"/>
        <v>2900255.1436952101</v>
      </c>
      <c r="I50" s="79">
        <f t="shared" ca="1" si="41"/>
        <v>2884497.0038914485</v>
      </c>
      <c r="J50" s="79">
        <f t="shared" ca="1" si="41"/>
        <v>2902955.8122224021</v>
      </c>
      <c r="K50" s="79">
        <f t="shared" ca="1" si="41"/>
        <v>2879851.5612127786</v>
      </c>
      <c r="L50" s="79">
        <f t="shared" ref="L50:O50" ca="1" si="42">(L20)*L7/1000</f>
        <v>2826785.2029006663</v>
      </c>
      <c r="M50" s="79">
        <f t="shared" ca="1" si="42"/>
        <v>2759835.0851160702</v>
      </c>
      <c r="N50" s="79">
        <f t="shared" ca="1" si="42"/>
        <v>2719504.1342236856</v>
      </c>
      <c r="O50" s="79">
        <f t="shared" ca="1" si="42"/>
        <v>2685048.0531616886</v>
      </c>
    </row>
    <row r="51" spans="1:15" x14ac:dyDescent="0.2">
      <c r="A51" s="48" t="s">
        <v>342</v>
      </c>
      <c r="B51" s="45"/>
      <c r="C51" s="45"/>
      <c r="F51" s="79">
        <f t="shared" ref="F51:K51" ca="1" si="43">F26*F7/1000</f>
        <v>0</v>
      </c>
      <c r="G51" s="79">
        <f t="shared" ca="1" si="43"/>
        <v>0</v>
      </c>
      <c r="H51" s="79">
        <f t="shared" ca="1" si="43"/>
        <v>0</v>
      </c>
      <c r="I51" s="79">
        <f t="shared" ca="1" si="43"/>
        <v>0</v>
      </c>
      <c r="J51" s="79">
        <f t="shared" ca="1" si="43"/>
        <v>0</v>
      </c>
      <c r="K51" s="79">
        <f t="shared" ca="1" si="43"/>
        <v>0</v>
      </c>
      <c r="L51" s="79">
        <f t="shared" ref="L51:O51" ca="1" si="44">L26*L7/1000</f>
        <v>0</v>
      </c>
      <c r="M51" s="79">
        <f t="shared" ca="1" si="44"/>
        <v>0</v>
      </c>
      <c r="N51" s="79">
        <f t="shared" ca="1" si="44"/>
        <v>0</v>
      </c>
      <c r="O51" s="79">
        <f t="shared" ca="1" si="44"/>
        <v>0</v>
      </c>
    </row>
    <row r="52" spans="1:15" ht="15" x14ac:dyDescent="0.25">
      <c r="A52" s="330" t="s">
        <v>93</v>
      </c>
      <c r="B52" s="76"/>
      <c r="C52" s="76"/>
      <c r="D52" s="328" t="s">
        <v>25</v>
      </c>
      <c r="E52" s="328" t="s">
        <v>27</v>
      </c>
      <c r="F52" s="80"/>
      <c r="G52" s="80"/>
      <c r="H52" s="80"/>
      <c r="I52" s="80"/>
      <c r="J52" s="80"/>
      <c r="K52" s="80"/>
      <c r="L52" s="80"/>
      <c r="M52" s="80"/>
      <c r="N52" s="80"/>
      <c r="O52" s="80"/>
    </row>
    <row r="53" spans="1:15" x14ac:dyDescent="0.2">
      <c r="A53" s="7" t="s">
        <v>26</v>
      </c>
      <c r="B53" s="7"/>
      <c r="C53" s="7"/>
      <c r="D53" s="3"/>
      <c r="F53" s="80"/>
      <c r="G53" s="80"/>
      <c r="H53" s="80"/>
      <c r="I53" s="80"/>
      <c r="J53" s="80"/>
      <c r="K53" s="80"/>
      <c r="L53" s="80"/>
      <c r="M53" s="80"/>
      <c r="N53" s="80"/>
      <c r="O53" s="80"/>
    </row>
    <row r="54" spans="1:15" x14ac:dyDescent="0.2">
      <c r="A54" s="7" t="s">
        <v>30</v>
      </c>
      <c r="B54" s="7"/>
      <c r="C54" s="7"/>
      <c r="D54" s="64">
        <f>'Cost Input'!D16</f>
        <v>0</v>
      </c>
      <c r="E54" s="64">
        <f>'Cost Input'!E16</f>
        <v>0.95</v>
      </c>
      <c r="F54" s="81">
        <f ca="1">$D54*('Cost Input'!$J$23/F$34)^(1-$E54)</f>
        <v>0</v>
      </c>
      <c r="G54" s="81">
        <f ca="1">$D54*('Cost Input'!$J$23/G$34)^(1-$E54)</f>
        <v>0</v>
      </c>
      <c r="H54" s="81">
        <f ca="1">$D54*('Cost Input'!$J$23/H$34)^(1-$E54)</f>
        <v>0</v>
      </c>
      <c r="I54" s="81">
        <f ca="1">$D54*('Cost Input'!$J$23/I$34)^(1-$E54)</f>
        <v>0</v>
      </c>
      <c r="J54" s="81">
        <f ca="1">$D54*('Cost Input'!$J$23/J$34)^(1-$E54)</f>
        <v>0</v>
      </c>
      <c r="K54" s="81">
        <f ca="1">$D54*('Cost Input'!$J$23/K$34)^(1-$E54)</f>
        <v>0</v>
      </c>
      <c r="L54" s="81">
        <f ca="1">$D54*('Cost Input'!$J$23/L$34)^(1-$E54)</f>
        <v>0</v>
      </c>
      <c r="M54" s="81">
        <f ca="1">$D54*('Cost Input'!$J$23/M$34)^(1-$E54)</f>
        <v>0</v>
      </c>
      <c r="N54" s="81">
        <f ca="1">$D54*('Cost Input'!$J$23/N$34)^(1-$E54)</f>
        <v>0</v>
      </c>
      <c r="O54" s="81">
        <f ca="1">$D54*('Cost Input'!$J$23/O$34)^(1-$E54)</f>
        <v>0</v>
      </c>
    </row>
    <row r="55" spans="1:15" x14ac:dyDescent="0.2">
      <c r="A55" s="7" t="s">
        <v>263</v>
      </c>
      <c r="B55" s="7"/>
      <c r="C55" s="7"/>
      <c r="D55" s="64">
        <f>'Cost Input'!D17</f>
        <v>50</v>
      </c>
      <c r="E55" s="64">
        <f>'Cost Input'!E17</f>
        <v>1</v>
      </c>
      <c r="F55" s="81">
        <f ca="1">$D55*('Cost Input'!$J$23/F$34)^(1-$E55)</f>
        <v>50</v>
      </c>
      <c r="G55" s="81">
        <f ca="1">$D55*('Cost Input'!$J$23/G$34)^(1-$E55)</f>
        <v>50</v>
      </c>
      <c r="H55" s="81">
        <f ca="1">$D55*('Cost Input'!$J$23/H$34)^(1-$E55)</f>
        <v>50</v>
      </c>
      <c r="I55" s="81">
        <f ca="1">$D55*('Cost Input'!$J$23/I$34)^(1-$E55)</f>
        <v>50</v>
      </c>
      <c r="J55" s="81">
        <f ca="1">$D55*('Cost Input'!$J$23/J$34)^(1-$E55)</f>
        <v>50</v>
      </c>
      <c r="K55" s="81">
        <f ca="1">$D55*('Cost Input'!$J$23/K$34)^(1-$E55)</f>
        <v>50</v>
      </c>
      <c r="L55" s="81">
        <f ca="1">$D55*('Cost Input'!$J$23/L$34)^(1-$E55)</f>
        <v>50</v>
      </c>
      <c r="M55" s="81">
        <f ca="1">$D55*('Cost Input'!$J$23/M$34)^(1-$E55)</f>
        <v>50</v>
      </c>
      <c r="N55" s="81">
        <f ca="1">$D55*('Cost Input'!$J$23/N$34)^(1-$E55)</f>
        <v>50</v>
      </c>
      <c r="O55" s="81">
        <f ca="1">$D55*('Cost Input'!$J$23/O$34)^(1-$E55)</f>
        <v>50</v>
      </c>
    </row>
    <row r="56" spans="1:15" x14ac:dyDescent="0.2">
      <c r="A56" s="7" t="s">
        <v>36</v>
      </c>
      <c r="B56" s="7"/>
      <c r="C56" s="7"/>
      <c r="D56" s="64">
        <f>'Cost Input'!D19</f>
        <v>10</v>
      </c>
      <c r="E56" s="64">
        <f>'Cost Input'!E19</f>
        <v>1</v>
      </c>
      <c r="F56" s="81">
        <f ca="1">$D56*('Cost Input'!$J$23/F$34)^(1-$E56)</f>
        <v>10</v>
      </c>
      <c r="G56" s="81">
        <f ca="1">$D56*('Cost Input'!$J$23/G$34)^(1-$E56)</f>
        <v>10</v>
      </c>
      <c r="H56" s="81">
        <f ca="1">$D56*('Cost Input'!$J$23/H$34)^(1-$E56)</f>
        <v>10</v>
      </c>
      <c r="I56" s="81">
        <f ca="1">$D56*('Cost Input'!$J$23/I$34)^(1-$E56)</f>
        <v>10</v>
      </c>
      <c r="J56" s="81">
        <f ca="1">$D56*('Cost Input'!$J$23/J$34)^(1-$E56)</f>
        <v>10</v>
      </c>
      <c r="K56" s="81">
        <f ca="1">$D56*('Cost Input'!$J$23/K$34)^(1-$E56)</f>
        <v>10</v>
      </c>
      <c r="L56" s="81">
        <f ca="1">$D56*('Cost Input'!$J$23/L$34)^(1-$E56)</f>
        <v>10</v>
      </c>
      <c r="M56" s="81">
        <f ca="1">$D56*('Cost Input'!$J$23/M$34)^(1-$E56)</f>
        <v>10</v>
      </c>
      <c r="N56" s="81">
        <f ca="1">$D56*('Cost Input'!$J$23/N$34)^(1-$E56)</f>
        <v>10</v>
      </c>
      <c r="O56" s="81">
        <f ca="1">$D56*('Cost Input'!$J$23/O$34)^(1-$E56)</f>
        <v>10</v>
      </c>
    </row>
    <row r="57" spans="1:15" x14ac:dyDescent="0.2">
      <c r="A57" s="7" t="s">
        <v>38</v>
      </c>
      <c r="B57" s="7"/>
      <c r="C57" s="7"/>
      <c r="D57" s="64">
        <f>'Cost Input'!D20</f>
        <v>3.2</v>
      </c>
      <c r="E57" s="64">
        <f>'Cost Input'!E20</f>
        <v>1</v>
      </c>
      <c r="F57" s="81">
        <f ca="1">$D57*('Cost Input'!$J$23/F$34)^(1-$E57)</f>
        <v>3.2</v>
      </c>
      <c r="G57" s="81">
        <f ca="1">$D57*('Cost Input'!$J$23/G$34)^(1-$E57)</f>
        <v>3.2</v>
      </c>
      <c r="H57" s="81">
        <f ca="1">$D57*('Cost Input'!$J$23/H$34)^(1-$E57)</f>
        <v>3.2</v>
      </c>
      <c r="I57" s="81">
        <f ca="1">$D57*('Cost Input'!$J$23/I$34)^(1-$E57)</f>
        <v>3.2</v>
      </c>
      <c r="J57" s="81">
        <f ca="1">$D57*('Cost Input'!$J$23/J$34)^(1-$E57)</f>
        <v>3.2</v>
      </c>
      <c r="K57" s="81">
        <f ca="1">$D57*('Cost Input'!$J$23/K$34)^(1-$E57)</f>
        <v>3.2</v>
      </c>
      <c r="L57" s="81">
        <f ca="1">$D57*('Cost Input'!$J$23/L$34)^(1-$E57)</f>
        <v>3.2</v>
      </c>
      <c r="M57" s="81">
        <f ca="1">$D57*('Cost Input'!$J$23/M$34)^(1-$E57)</f>
        <v>3.2</v>
      </c>
      <c r="N57" s="81">
        <f ca="1">$D57*('Cost Input'!$J$23/N$34)^(1-$E57)</f>
        <v>3.2</v>
      </c>
      <c r="O57" s="81">
        <f ca="1">$D57*('Cost Input'!$J$23/O$34)^(1-$E57)</f>
        <v>3.2</v>
      </c>
    </row>
    <row r="58" spans="1:15" x14ac:dyDescent="0.2">
      <c r="A58" s="7" t="s">
        <v>39</v>
      </c>
      <c r="B58" s="7"/>
      <c r="C58" s="7"/>
      <c r="D58" s="64"/>
      <c r="E58" s="64"/>
      <c r="F58" s="82"/>
      <c r="G58" s="82"/>
      <c r="H58" s="82"/>
      <c r="I58" s="82"/>
      <c r="J58" s="82"/>
      <c r="K58" s="82"/>
      <c r="L58" s="82"/>
      <c r="M58" s="82"/>
      <c r="N58" s="82"/>
      <c r="O58" s="82"/>
    </row>
    <row r="59" spans="1:15" x14ac:dyDescent="0.2">
      <c r="A59" s="7" t="s">
        <v>30</v>
      </c>
      <c r="B59" s="7"/>
      <c r="C59" s="7"/>
      <c r="D59" s="64">
        <f>'Cost Input'!D22</f>
        <v>100</v>
      </c>
      <c r="E59" s="64">
        <f>'Cost Input'!E22</f>
        <v>0.95</v>
      </c>
      <c r="F59" s="81">
        <f ca="1">$D59*('Cost Input'!$J$24/F$39)^(1-$E59)</f>
        <v>97.124152903832453</v>
      </c>
      <c r="G59" s="81">
        <f ca="1">$D59*('Cost Input'!$J$24/G$39)^(1-$E59)</f>
        <v>97.137642446059985</v>
      </c>
      <c r="H59" s="81">
        <f ca="1">$D59*('Cost Input'!$J$24/H$39)^(1-$E59)</f>
        <v>97.15708221827596</v>
      </c>
      <c r="I59" s="81">
        <f ca="1">$D59*('Cost Input'!$J$24/I$39)^(1-$E59)</f>
        <v>97.183552275817448</v>
      </c>
      <c r="J59" s="81">
        <f ca="1">$D59*('Cost Input'!$J$24/J$39)^(1-$E59)</f>
        <v>97.152560876732707</v>
      </c>
      <c r="K59" s="81">
        <f ca="1">$D59*('Cost Input'!$J$24/K$39)^(1-$E59)</f>
        <v>97.19138453831593</v>
      </c>
      <c r="L59" s="81">
        <f ca="1">$D59*('Cost Input'!$J$24/L$39)^(1-$E59)</f>
        <v>97.2818080336463</v>
      </c>
      <c r="M59" s="81">
        <f ca="1">$D59*('Cost Input'!$J$24/M$39)^(1-$E59)</f>
        <v>97.398466129836592</v>
      </c>
      <c r="N59" s="81">
        <f ca="1">$D59*('Cost Input'!$J$24/N$39)^(1-$E59)</f>
        <v>97.470184445164094</v>
      </c>
      <c r="O59" s="81">
        <f ca="1">$D59*('Cost Input'!$J$24/O$39)^(1-$E59)</f>
        <v>97.532346059787216</v>
      </c>
    </row>
    <row r="60" spans="1:15" x14ac:dyDescent="0.2">
      <c r="A60" s="7" t="s">
        <v>34</v>
      </c>
      <c r="B60" s="7"/>
      <c r="C60" s="7"/>
      <c r="D60" s="64">
        <f>'Cost Input'!D23</f>
        <v>6.8</v>
      </c>
      <c r="E60" s="64">
        <f>'Cost Input'!E23</f>
        <v>1</v>
      </c>
      <c r="F60" s="81">
        <f ca="1">$D60*('Cost Input'!$J$24/F$39)^(1-$E60)</f>
        <v>6.8</v>
      </c>
      <c r="G60" s="81">
        <f ca="1">$D60*('Cost Input'!$J$24/G$39)^(1-$E60)</f>
        <v>6.8</v>
      </c>
      <c r="H60" s="81">
        <f ca="1">$D60*('Cost Input'!$J$24/H$39)^(1-$E60)</f>
        <v>6.8</v>
      </c>
      <c r="I60" s="81">
        <f ca="1">$D60*('Cost Input'!$J$24/I$39)^(1-$E60)</f>
        <v>6.8</v>
      </c>
      <c r="J60" s="81">
        <f ca="1">$D60*('Cost Input'!$J$24/J$39)^(1-$E60)</f>
        <v>6.8</v>
      </c>
      <c r="K60" s="81">
        <f ca="1">$D60*('Cost Input'!$J$24/K$39)^(1-$E60)</f>
        <v>6.8</v>
      </c>
      <c r="L60" s="81">
        <f ca="1">$D60*('Cost Input'!$J$24/L$39)^(1-$E60)</f>
        <v>6.8</v>
      </c>
      <c r="M60" s="81">
        <f ca="1">$D60*('Cost Input'!$J$24/M$39)^(1-$E60)</f>
        <v>6.8</v>
      </c>
      <c r="N60" s="81">
        <f ca="1">$D60*('Cost Input'!$J$24/N$39)^(1-$E60)</f>
        <v>6.8</v>
      </c>
      <c r="O60" s="81">
        <f ca="1">$D60*('Cost Input'!$J$24/O$39)^(1-$E60)</f>
        <v>6.8</v>
      </c>
    </row>
    <row r="61" spans="1:15" x14ac:dyDescent="0.2">
      <c r="A61" s="7" t="s">
        <v>296</v>
      </c>
      <c r="B61" s="7"/>
      <c r="C61" s="7"/>
      <c r="D61" s="64">
        <f>'Cost Input'!D24</f>
        <v>10</v>
      </c>
      <c r="E61" s="64">
        <f>'Cost Input'!E24</f>
        <v>1</v>
      </c>
      <c r="F61" s="81">
        <f ca="1">$D61*('Cost Input'!$J$24/F$39)^(1-$E61)</f>
        <v>10</v>
      </c>
      <c r="G61" s="81">
        <f ca="1">$D61*('Cost Input'!$J$24/G$39)^(1-$E61)</f>
        <v>10</v>
      </c>
      <c r="H61" s="81">
        <f ca="1">$D61*('Cost Input'!$J$24/H$39)^(1-$E61)</f>
        <v>10</v>
      </c>
      <c r="I61" s="81">
        <f ca="1">$D61*('Cost Input'!$J$24/I$39)^(1-$E61)</f>
        <v>10</v>
      </c>
      <c r="J61" s="81">
        <f ca="1">$D61*('Cost Input'!$J$24/J$39)^(1-$E61)</f>
        <v>10</v>
      </c>
      <c r="K61" s="81">
        <f ca="1">$D61*('Cost Input'!$J$24/K$39)^(1-$E61)</f>
        <v>10</v>
      </c>
      <c r="L61" s="81">
        <f ca="1">$D61*('Cost Input'!$J$24/L$39)^(1-$E61)</f>
        <v>10</v>
      </c>
      <c r="M61" s="81">
        <f ca="1">$D61*('Cost Input'!$J$24/M$39)^(1-$E61)</f>
        <v>10</v>
      </c>
      <c r="N61" s="81">
        <f ca="1">$D61*('Cost Input'!$J$24/N$39)^(1-$E61)</f>
        <v>10</v>
      </c>
      <c r="O61" s="81">
        <f ca="1">$D61*('Cost Input'!$J$24/O$39)^(1-$E61)</f>
        <v>10</v>
      </c>
    </row>
    <row r="62" spans="1:15" ht="14.25" x14ac:dyDescent="0.2">
      <c r="A62" s="7" t="s">
        <v>284</v>
      </c>
      <c r="B62" s="7"/>
      <c r="C62" s="7"/>
      <c r="D62" s="432">
        <f>'Cost Input'!D26*Chem!E38/20</f>
        <v>0.8</v>
      </c>
      <c r="E62" s="64">
        <f>'Cost Input'!E26</f>
        <v>1</v>
      </c>
      <c r="F62" s="81">
        <f ca="1">$D62*('Cost Input'!$J$22/F$9)^(1-$E62)</f>
        <v>0.8</v>
      </c>
      <c r="G62" s="81">
        <f ca="1">$D62*('Cost Input'!$J$22/G$9)^(1-$E62)</f>
        <v>0.8</v>
      </c>
      <c r="H62" s="81">
        <f ca="1">$D62*('Cost Input'!$J$22/H$9)^(1-$E62)</f>
        <v>0.8</v>
      </c>
      <c r="I62" s="81">
        <f ca="1">$D62*('Cost Input'!$J$22/I$9)^(1-$E62)</f>
        <v>0.8</v>
      </c>
      <c r="J62" s="81">
        <f ca="1">$D62*('Cost Input'!$J$22/J$9)^(1-$E62)</f>
        <v>0.8</v>
      </c>
      <c r="K62" s="81">
        <f ca="1">$D62*('Cost Input'!$J$22/K$9)^(1-$E62)</f>
        <v>0.8</v>
      </c>
      <c r="L62" s="81">
        <f ca="1">$D62*('Cost Input'!$J$22/L$9)^(1-$E62)</f>
        <v>0.8</v>
      </c>
      <c r="M62" s="81">
        <f ca="1">$D62*('Cost Input'!$J$22/M$9)^(1-$E62)</f>
        <v>0.8</v>
      </c>
      <c r="N62" s="81">
        <f ca="1">$D62*('Cost Input'!$J$22/N$9)^(1-$E62)</f>
        <v>0.8</v>
      </c>
      <c r="O62" s="81">
        <f ca="1">$D62*('Cost Input'!$J$22/O$9)^(1-$E62)</f>
        <v>0.8</v>
      </c>
    </row>
    <row r="63" spans="1:15" ht="14.25" x14ac:dyDescent="0.2">
      <c r="A63" s="7" t="s">
        <v>358</v>
      </c>
      <c r="B63" s="7"/>
      <c r="C63" s="7"/>
      <c r="D63" s="432">
        <f>'Cost Input'!D27*Chem!E41/12</f>
        <v>1.2</v>
      </c>
      <c r="E63" s="64">
        <f>'Cost Input'!E27</f>
        <v>1</v>
      </c>
      <c r="F63" s="81">
        <f ca="1">$D63*('Cost Input'!$J$22/F$9)^(1-$E63)</f>
        <v>1.2</v>
      </c>
      <c r="G63" s="81">
        <f ca="1">$D63*('Cost Input'!$J$22/G$9)^(1-$E63)</f>
        <v>1.2</v>
      </c>
      <c r="H63" s="81">
        <f ca="1">$D63*('Cost Input'!$J$22/H$9)^(1-$E63)</f>
        <v>1.2</v>
      </c>
      <c r="I63" s="81">
        <f ca="1">$D63*('Cost Input'!$J$22/I$9)^(1-$E63)</f>
        <v>1.2</v>
      </c>
      <c r="J63" s="81">
        <f ca="1">$D63*('Cost Input'!$J$22/J$9)^(1-$E63)</f>
        <v>1.2</v>
      </c>
      <c r="K63" s="81">
        <f ca="1">$D63*('Cost Input'!$J$22/K$9)^(1-$E63)</f>
        <v>1.2</v>
      </c>
      <c r="L63" s="81">
        <f ca="1">$D63*('Cost Input'!$J$22/L$9)^(1-$E63)</f>
        <v>1.2</v>
      </c>
      <c r="M63" s="81">
        <f ca="1">$D63*('Cost Input'!$J$22/M$9)^(1-$E63)</f>
        <v>1.2</v>
      </c>
      <c r="N63" s="81">
        <f ca="1">$D63*('Cost Input'!$J$22/N$9)^(1-$E63)</f>
        <v>1.2</v>
      </c>
      <c r="O63" s="81">
        <f ca="1">$D63*('Cost Input'!$J$22/O$9)^(1-$E63)</f>
        <v>1.2</v>
      </c>
    </row>
    <row r="64" spans="1:15" ht="14.25" x14ac:dyDescent="0.2">
      <c r="A64" s="7" t="s">
        <v>43</v>
      </c>
      <c r="B64" s="7"/>
      <c r="C64" s="7"/>
      <c r="D64" s="64">
        <f>'Cost Input'!D28</f>
        <v>2</v>
      </c>
      <c r="E64" s="64">
        <f>'Cost Input'!E28</f>
        <v>1</v>
      </c>
      <c r="F64" s="81">
        <f ca="1">$D64*('Cost Input'!$J$22/F$9)^(1-$E64)</f>
        <v>2</v>
      </c>
      <c r="G64" s="81">
        <f ca="1">$D64*('Cost Input'!$J$22/G$9)^(1-$E64)</f>
        <v>2</v>
      </c>
      <c r="H64" s="81">
        <f ca="1">$D64*('Cost Input'!$J$22/H$9)^(1-$E64)</f>
        <v>2</v>
      </c>
      <c r="I64" s="81">
        <f ca="1">$D64*('Cost Input'!$J$22/I$9)^(1-$E64)</f>
        <v>2</v>
      </c>
      <c r="J64" s="81">
        <f ca="1">$D64*('Cost Input'!$J$22/J$9)^(1-$E64)</f>
        <v>2</v>
      </c>
      <c r="K64" s="81">
        <f ca="1">$D64*('Cost Input'!$J$22/K$9)^(1-$E64)</f>
        <v>2</v>
      </c>
      <c r="L64" s="81">
        <f ca="1">$D64*('Cost Input'!$J$22/L$9)^(1-$E64)</f>
        <v>2</v>
      </c>
      <c r="M64" s="81">
        <f ca="1">$D64*('Cost Input'!$J$22/M$9)^(1-$E64)</f>
        <v>2</v>
      </c>
      <c r="N64" s="81">
        <f ca="1">$D64*('Cost Input'!$J$22/N$9)^(1-$E64)</f>
        <v>2</v>
      </c>
      <c r="O64" s="81">
        <f ca="1">$D64*('Cost Input'!$J$22/O$9)^(1-$E64)</f>
        <v>2</v>
      </c>
    </row>
    <row r="65" spans="1:15" x14ac:dyDescent="0.2">
      <c r="A65" s="7" t="s">
        <v>44</v>
      </c>
      <c r="B65" s="7"/>
      <c r="C65" s="7"/>
      <c r="D65" s="64">
        <f>'Cost Input'!D29</f>
        <v>21.6</v>
      </c>
      <c r="E65" s="64">
        <f>'Cost Input'!E29</f>
        <v>1</v>
      </c>
      <c r="F65" s="81">
        <f t="shared" ref="F65:O65" si="45">IF($E65=1,$D65)</f>
        <v>21.6</v>
      </c>
      <c r="G65" s="81">
        <f t="shared" si="45"/>
        <v>21.6</v>
      </c>
      <c r="H65" s="81">
        <f t="shared" si="45"/>
        <v>21.6</v>
      </c>
      <c r="I65" s="81">
        <f t="shared" si="45"/>
        <v>21.6</v>
      </c>
      <c r="J65" s="81">
        <f t="shared" si="45"/>
        <v>21.6</v>
      </c>
      <c r="K65" s="81">
        <f t="shared" si="45"/>
        <v>21.6</v>
      </c>
      <c r="L65" s="81">
        <f t="shared" si="45"/>
        <v>21.6</v>
      </c>
      <c r="M65" s="81">
        <f t="shared" si="45"/>
        <v>21.6</v>
      </c>
      <c r="N65" s="81">
        <f t="shared" si="45"/>
        <v>21.6</v>
      </c>
      <c r="O65" s="81">
        <f t="shared" si="45"/>
        <v>21.6</v>
      </c>
    </row>
    <row r="66" spans="1:15" x14ac:dyDescent="0.2">
      <c r="A66" s="7" t="s">
        <v>428</v>
      </c>
      <c r="B66" s="7"/>
      <c r="C66" s="7"/>
      <c r="D66" s="64"/>
      <c r="E66" s="20"/>
      <c r="F66" s="82"/>
      <c r="G66" s="82"/>
      <c r="H66" s="82"/>
      <c r="I66" s="82"/>
      <c r="J66" s="82"/>
      <c r="K66" s="82"/>
      <c r="L66" s="82"/>
      <c r="M66" s="82"/>
      <c r="N66" s="82"/>
      <c r="O66" s="82"/>
    </row>
    <row r="67" spans="1:15" x14ac:dyDescent="0.2">
      <c r="A67" s="45" t="s">
        <v>94</v>
      </c>
      <c r="B67" s="45"/>
      <c r="C67" s="45"/>
      <c r="D67" s="2"/>
      <c r="E67" s="20"/>
      <c r="F67" s="81">
        <f ca="1">'Battery Design'!F25/1000*'Cost Input'!$C34+'Cost Input'!$D34</f>
        <v>0.25899303428291376</v>
      </c>
      <c r="G67" s="81">
        <f ca="1">'Battery Design'!G25/1000*'Cost Input'!$C34+'Cost Input'!$D34</f>
        <v>0.2589813593454412</v>
      </c>
      <c r="H67" s="81">
        <f ca="1">'Battery Design'!H25/1000*'Cost Input'!$C34+'Cost Input'!$D34</f>
        <v>0.25899607212752479</v>
      </c>
      <c r="I67" s="81">
        <f ca="1">'Battery Design'!I25/1000*'Cost Input'!$C34+'Cost Input'!$D34</f>
        <v>0.2588095877965591</v>
      </c>
      <c r="J67" s="81">
        <f ca="1">'Battery Design'!J25/1000*'Cost Input'!$C34+'Cost Input'!$D34</f>
        <v>0.25892333652825766</v>
      </c>
      <c r="K67" s="81">
        <f ca="1">'Battery Design'!K25/1000*'Cost Input'!$C34+'Cost Input'!$D34</f>
        <v>0.25851285918400257</v>
      </c>
      <c r="L67" s="81">
        <f ca="1">'Battery Design'!L25/1000*'Cost Input'!$C34+'Cost Input'!$D34</f>
        <v>0.25843406225990567</v>
      </c>
      <c r="M67" s="81">
        <f ca="1">'Battery Design'!M25/1000*'Cost Input'!$C34+'Cost Input'!$D34</f>
        <v>0.25900130253242465</v>
      </c>
      <c r="N67" s="81">
        <f ca="1">'Battery Design'!N25/1000*'Cost Input'!$C34+'Cost Input'!$D34</f>
        <v>0.25893529004408244</v>
      </c>
      <c r="O67" s="81">
        <f ca="1">'Battery Design'!O25/1000*'Cost Input'!$C34+'Cost Input'!$D34</f>
        <v>0.25887850460024581</v>
      </c>
    </row>
    <row r="68" spans="1:15" x14ac:dyDescent="0.2">
      <c r="A68" s="45" t="s">
        <v>95</v>
      </c>
      <c r="B68" s="45"/>
      <c r="C68" s="45"/>
      <c r="D68" s="2"/>
      <c r="E68" s="20"/>
      <c r="F68" s="81">
        <f ca="1">'Battery Design'!F26/1000*'Cost Input'!$C35+'Cost Input'!$D35</f>
        <v>0.29456548100199481</v>
      </c>
      <c r="G68" s="81">
        <f ca="1">'Battery Design'!G26/1000*'Cost Input'!$C35+'Cost Input'!$D35</f>
        <v>0.29450762520074192</v>
      </c>
      <c r="H68" s="81">
        <f ca="1">'Battery Design'!H26/1000*'Cost Input'!$C35+'Cost Input'!$D35</f>
        <v>0.29458053520973404</v>
      </c>
      <c r="I68" s="81">
        <f ca="1">'Battery Design'!I26/1000*'Cost Input'!$C35+'Cost Input'!$D35</f>
        <v>0.29365640174739283</v>
      </c>
      <c r="J68" s="81">
        <f ca="1">'Battery Design'!J26/1000*'Cost Input'!$C35+'Cost Input'!$D35</f>
        <v>0.29422008990669918</v>
      </c>
      <c r="K68" s="81">
        <f ca="1">'Battery Design'!K26/1000*'Cost Input'!$C35+'Cost Input'!$D35</f>
        <v>0.29218594662294617</v>
      </c>
      <c r="L68" s="81">
        <f ca="1">'Battery Design'!L26/1000*'Cost Input'!$C35+'Cost Input'!$D35</f>
        <v>0.29179546408797707</v>
      </c>
      <c r="M68" s="81">
        <f ca="1">'Battery Design'!M26/1000*'Cost Input'!$C35+'Cost Input'!$D35</f>
        <v>0.29460645477179337</v>
      </c>
      <c r="N68" s="81">
        <f ca="1">'Battery Design'!N26/1000*'Cost Input'!$C35+'Cost Input'!$D35</f>
        <v>0.29427932621845293</v>
      </c>
      <c r="O68" s="81">
        <f ca="1">'Battery Design'!O26/1000*'Cost Input'!$C35+'Cost Input'!$D35</f>
        <v>0.29399792279677356</v>
      </c>
    </row>
    <row r="69" spans="1:15" x14ac:dyDescent="0.2">
      <c r="A69" s="45" t="s">
        <v>371</v>
      </c>
      <c r="B69" s="45"/>
      <c r="C69" s="45"/>
      <c r="D69" s="2"/>
      <c r="E69" s="20"/>
      <c r="F69" s="81">
        <f ca="1">'Battery Design'!F30/1000*'Cost Input'!$C36+'Cost Input'!$D36</f>
        <v>0.32662675382558504</v>
      </c>
      <c r="G69" s="81">
        <f ca="1">'Battery Design'!G30/1000*'Cost Input'!$C36+'Cost Input'!$D36</f>
        <v>0.32430314110624348</v>
      </c>
      <c r="H69" s="81">
        <f ca="1">'Battery Design'!H30/1000*'Cost Input'!$C36+'Cost Input'!$D36</f>
        <v>0.32352169853272295</v>
      </c>
      <c r="I69" s="81">
        <f ca="1">'Battery Design'!I30/1000*'Cost Input'!$C36+'Cost Input'!$D36</f>
        <v>0.31863907941227726</v>
      </c>
      <c r="J69" s="81">
        <f ca="1">'Battery Design'!J30/1000*'Cost Input'!$C36+'Cost Input'!$D36</f>
        <v>0.32087745224428238</v>
      </c>
      <c r="K69" s="81">
        <f ca="1">'Battery Design'!K30/1000*'Cost Input'!$C36+'Cost Input'!$D36</f>
        <v>0.3115280259118734</v>
      </c>
      <c r="L69" s="81">
        <f ca="1">'Battery Design'!L30/1000*'Cost Input'!$C36+'Cost Input'!$D36</f>
        <v>0.30970238345244405</v>
      </c>
      <c r="M69" s="81">
        <f ca="1">'Battery Design'!M30/1000*'Cost Input'!$C36+'Cost Input'!$D36</f>
        <v>0.32219748203098963</v>
      </c>
      <c r="N69" s="81">
        <f ca="1">'Battery Design'!N30/1000*'Cost Input'!$C36+'Cost Input'!$D36</f>
        <v>0.32059628922198646</v>
      </c>
      <c r="O69" s="81">
        <f ca="1">'Battery Design'!O30/1000*'Cost Input'!$C36+'Cost Input'!$D36</f>
        <v>0.31922732986921748</v>
      </c>
    </row>
    <row r="70" spans="1:15" ht="15" x14ac:dyDescent="0.25">
      <c r="A70" s="258" t="s">
        <v>506</v>
      </c>
      <c r="B70" s="5"/>
      <c r="C70" s="5"/>
      <c r="D70" s="64"/>
      <c r="E70" s="20"/>
      <c r="F70" s="82"/>
      <c r="G70" s="82"/>
      <c r="H70" s="82"/>
      <c r="I70" s="82"/>
      <c r="J70" s="82"/>
      <c r="K70" s="82"/>
      <c r="L70" s="82"/>
      <c r="M70" s="82"/>
      <c r="N70" s="82"/>
      <c r="O70" s="82"/>
    </row>
    <row r="71" spans="1:15" x14ac:dyDescent="0.2">
      <c r="A71" s="7" t="s">
        <v>96</v>
      </c>
      <c r="B71" s="7"/>
      <c r="C71" s="7"/>
      <c r="D71" s="64"/>
      <c r="E71" s="20"/>
      <c r="F71" s="82"/>
      <c r="G71" s="82"/>
      <c r="H71" s="82"/>
      <c r="I71" s="82"/>
      <c r="J71" s="82"/>
      <c r="K71" s="82"/>
      <c r="L71" s="82"/>
      <c r="M71" s="82"/>
      <c r="N71" s="82"/>
      <c r="O71" s="82"/>
    </row>
    <row r="72" spans="1:15" x14ac:dyDescent="0.2">
      <c r="A72" s="7" t="s">
        <v>30</v>
      </c>
      <c r="B72" s="7"/>
      <c r="C72" s="7"/>
      <c r="D72" s="64"/>
      <c r="E72" s="20"/>
      <c r="F72" s="38">
        <f t="shared" ref="F72:J74" ca="1" si="46">F54*F17/1000</f>
        <v>0</v>
      </c>
      <c r="G72" s="38">
        <f t="shared" ca="1" si="46"/>
        <v>0</v>
      </c>
      <c r="H72" s="38">
        <f t="shared" ca="1" si="46"/>
        <v>0</v>
      </c>
      <c r="I72" s="38">
        <f t="shared" ca="1" si="46"/>
        <v>0</v>
      </c>
      <c r="J72" s="38">
        <f t="shared" ca="1" si="46"/>
        <v>0</v>
      </c>
      <c r="K72" s="38">
        <f t="shared" ref="K72:L72" ca="1" si="47">K54*K17/1000</f>
        <v>0</v>
      </c>
      <c r="L72" s="38">
        <f t="shared" ca="1" si="47"/>
        <v>0</v>
      </c>
      <c r="M72" s="38">
        <f t="shared" ref="M72:O72" ca="1" si="48">M54*M17/1000</f>
        <v>0</v>
      </c>
      <c r="N72" s="38">
        <f t="shared" ca="1" si="48"/>
        <v>0</v>
      </c>
      <c r="O72" s="38">
        <f t="shared" ca="1" si="48"/>
        <v>0</v>
      </c>
    </row>
    <row r="73" spans="1:15" x14ac:dyDescent="0.2">
      <c r="A73" s="7" t="s">
        <v>263</v>
      </c>
      <c r="B73" s="7"/>
      <c r="C73" s="7"/>
      <c r="D73" s="64"/>
      <c r="E73" s="20"/>
      <c r="F73" s="38">
        <f t="shared" ca="1" si="46"/>
        <v>1.0453884941994003</v>
      </c>
      <c r="G73" s="38">
        <f t="shared" ca="1" si="46"/>
        <v>1.0424888513233672</v>
      </c>
      <c r="H73" s="38">
        <f t="shared" ca="1" si="46"/>
        <v>1.0383250229997958</v>
      </c>
      <c r="I73" s="38">
        <f t="shared" ca="1" si="46"/>
        <v>1.0326834259459139</v>
      </c>
      <c r="J73" s="38">
        <f t="shared" ca="1" si="46"/>
        <v>1.0392918936962268</v>
      </c>
      <c r="K73" s="38">
        <f t="shared" ref="K73:L73" ca="1" si="49">K55*K18/1000</f>
        <v>1.0310203035179932</v>
      </c>
      <c r="L73" s="38">
        <f t="shared" ca="1" si="49"/>
        <v>1.0120219309662812</v>
      </c>
      <c r="M73" s="38">
        <f t="shared" ref="M73:O73" ca="1" si="50">M55*M18/1000</f>
        <v>0.98805301128704259</v>
      </c>
      <c r="N73" s="38">
        <f t="shared" ca="1" si="50"/>
        <v>0.9736140624918056</v>
      </c>
      <c r="O73" s="38">
        <f t="shared" ca="1" si="50"/>
        <v>0.96127838532252075</v>
      </c>
    </row>
    <row r="74" spans="1:15" x14ac:dyDescent="0.2">
      <c r="A74" s="7" t="s">
        <v>36</v>
      </c>
      <c r="B74" s="7"/>
      <c r="C74" s="7"/>
      <c r="D74" s="64"/>
      <c r="E74" s="20"/>
      <c r="F74" s="38">
        <f t="shared" ca="1" si="46"/>
        <v>5.0694181773505174E-2</v>
      </c>
      <c r="G74" s="38">
        <f t="shared" ca="1" si="46"/>
        <v>5.0553568954585203E-2</v>
      </c>
      <c r="H74" s="38">
        <f t="shared" ca="1" si="46"/>
        <v>5.0351651800264068E-2</v>
      </c>
      <c r="I74" s="38">
        <f t="shared" ca="1" si="46"/>
        <v>5.0078072984226535E-2</v>
      </c>
      <c r="J74" s="38">
        <f t="shared" ca="1" si="46"/>
        <v>5.0398538406638924E-2</v>
      </c>
      <c r="K74" s="38">
        <f t="shared" ref="K74:L74" ca="1" si="51">K56*K19/1000</f>
        <v>4.9997422937721851E-2</v>
      </c>
      <c r="L74" s="38">
        <f t="shared" ca="1" si="51"/>
        <v>4.9076131994803235E-2</v>
      </c>
      <c r="M74" s="38">
        <f t="shared" ref="M74:O74" ca="1" si="52">M56*M19/1000</f>
        <v>4.7913803561042884E-2</v>
      </c>
      <c r="N74" s="38">
        <f t="shared" ca="1" si="52"/>
        <v>4.7213613441383438E-2</v>
      </c>
      <c r="O74" s="38">
        <f t="shared" ca="1" si="52"/>
        <v>4.661541758961265E-2</v>
      </c>
    </row>
    <row r="75" spans="1:15" x14ac:dyDescent="0.2">
      <c r="A75" s="7" t="s">
        <v>38</v>
      </c>
      <c r="B75" s="7"/>
      <c r="C75" s="7"/>
      <c r="D75" s="64"/>
      <c r="E75" s="20"/>
      <c r="F75" s="38">
        <f ca="1">F57*F20/1000*(1-'Cost Input'!$E13/100)</f>
        <v>1.9466565801026005E-3</v>
      </c>
      <c r="G75" s="38">
        <f ca="1">G57*G20/1000*(1-'Cost Input'!$E13/100)</f>
        <v>1.9412570478560738E-3</v>
      </c>
      <c r="H75" s="38">
        <f ca="1">H57*H20/1000*(1-'Cost Input'!$E13/100)</f>
        <v>1.9335034291301418E-3</v>
      </c>
      <c r="I75" s="38">
        <f ca="1">I57*I20/1000*(1-'Cost Input'!$E13/100)</f>
        <v>1.9229980025943006E-3</v>
      </c>
      <c r="J75" s="38">
        <f ca="1">J57*J20/1000*(1-'Cost Input'!$E13/100)</f>
        <v>1.9353038748149366E-3</v>
      </c>
      <c r="K75" s="38">
        <f ca="1">K57*K20/1000*(1-'Cost Input'!$E13/100)</f>
        <v>1.9199010408085207E-3</v>
      </c>
      <c r="L75" s="38">
        <f ca="1">L57*L20/1000*(1-'Cost Input'!$E13/100)</f>
        <v>1.8845234686004459E-3</v>
      </c>
      <c r="M75" s="38">
        <f ca="1">M57*M20/1000*(1-'Cost Input'!$E13/100)</f>
        <v>1.8398900567440485E-3</v>
      </c>
      <c r="N75" s="38">
        <f ca="1">N57*N20/1000*(1-'Cost Input'!$E13/100)</f>
        <v>1.8130027561491255E-3</v>
      </c>
      <c r="O75" s="38">
        <f ca="1">O57*O20/1000*(1-'Cost Input'!$E13/100)</f>
        <v>1.7900320354411275E-3</v>
      </c>
    </row>
    <row r="76" spans="1:15" x14ac:dyDescent="0.2">
      <c r="A76" s="7" t="s">
        <v>97</v>
      </c>
      <c r="B76" s="7"/>
      <c r="C76" s="7"/>
      <c r="D76" s="64"/>
      <c r="E76" s="20"/>
      <c r="F76" s="38"/>
      <c r="G76" s="38"/>
      <c r="H76" s="38"/>
      <c r="I76" s="38"/>
      <c r="J76" s="38"/>
      <c r="K76" s="38"/>
      <c r="L76" s="38"/>
      <c r="M76" s="38"/>
      <c r="N76" s="38"/>
      <c r="O76" s="38"/>
    </row>
    <row r="77" spans="1:15" x14ac:dyDescent="0.2">
      <c r="A77" s="7" t="s">
        <v>30</v>
      </c>
      <c r="B77" s="7"/>
      <c r="C77" s="7"/>
      <c r="D77" s="64"/>
      <c r="E77" s="20"/>
      <c r="F77" s="38">
        <f t="shared" ref="F77:J79" ca="1" si="53">F59*F23/1000</f>
        <v>8.7474129683950821</v>
      </c>
      <c r="G77" s="38">
        <f t="shared" ca="1" si="53"/>
        <v>8.7243614160842249</v>
      </c>
      <c r="H77" s="38">
        <f t="shared" ca="1" si="53"/>
        <v>8.6912542449479471</v>
      </c>
      <c r="I77" s="38">
        <f t="shared" ca="1" si="53"/>
        <v>8.6463865349932085</v>
      </c>
      <c r="J77" s="38">
        <f t="shared" ca="1" si="53"/>
        <v>8.6989425575034058</v>
      </c>
      <c r="K77" s="38">
        <f t="shared" ref="K77:L77" ca="1" si="54">K59*K23/1000</f>
        <v>8.6331573600270737</v>
      </c>
      <c r="L77" s="38">
        <f t="shared" ca="1" si="54"/>
        <v>8.4819601538303182</v>
      </c>
      <c r="M77" s="38">
        <f t="shared" ref="M77:O77" ca="1" si="55">M59*M23/1000</f>
        <v>8.2910022680648421</v>
      </c>
      <c r="N77" s="38">
        <f t="shared" ca="1" si="55"/>
        <v>8.1758571784168961</v>
      </c>
      <c r="O77" s="38">
        <f t="shared" ca="1" si="55"/>
        <v>8.0774172671936881</v>
      </c>
    </row>
    <row r="78" spans="1:15" x14ac:dyDescent="0.2">
      <c r="A78" s="7" t="s">
        <v>34</v>
      </c>
      <c r="B78" s="7"/>
      <c r="C78" s="7"/>
      <c r="D78" s="64"/>
      <c r="E78" s="20"/>
      <c r="F78" s="38">
        <f t="shared" ca="1" si="53"/>
        <v>0</v>
      </c>
      <c r="G78" s="38">
        <f t="shared" ca="1" si="53"/>
        <v>0</v>
      </c>
      <c r="H78" s="38">
        <f t="shared" ca="1" si="53"/>
        <v>0</v>
      </c>
      <c r="I78" s="38">
        <f t="shared" ca="1" si="53"/>
        <v>0</v>
      </c>
      <c r="J78" s="38">
        <f t="shared" ca="1" si="53"/>
        <v>0</v>
      </c>
      <c r="K78" s="38">
        <f t="shared" ref="K78:L78" ca="1" si="56">K60*K24/1000</f>
        <v>0</v>
      </c>
      <c r="L78" s="38">
        <f t="shared" ca="1" si="56"/>
        <v>0</v>
      </c>
      <c r="M78" s="38">
        <f t="shared" ref="M78:O78" ca="1" si="57">M60*M24/1000</f>
        <v>0</v>
      </c>
      <c r="N78" s="38">
        <f t="shared" ca="1" si="57"/>
        <v>0</v>
      </c>
      <c r="O78" s="38">
        <f t="shared" ca="1" si="57"/>
        <v>0</v>
      </c>
    </row>
    <row r="79" spans="1:15" x14ac:dyDescent="0.2">
      <c r="A79" s="7" t="s">
        <v>296</v>
      </c>
      <c r="B79" s="7"/>
      <c r="C79" s="7"/>
      <c r="D79" s="64"/>
      <c r="E79" s="20"/>
      <c r="F79" s="38">
        <f t="shared" ca="1" si="53"/>
        <v>0</v>
      </c>
      <c r="G79" s="38">
        <f t="shared" ca="1" si="53"/>
        <v>0</v>
      </c>
      <c r="H79" s="38">
        <f t="shared" ca="1" si="53"/>
        <v>0</v>
      </c>
      <c r="I79" s="38">
        <f t="shared" ca="1" si="53"/>
        <v>0</v>
      </c>
      <c r="J79" s="38">
        <f t="shared" ca="1" si="53"/>
        <v>0</v>
      </c>
      <c r="K79" s="38">
        <f t="shared" ref="K79:L79" ca="1" si="58">K61*K25/1000</f>
        <v>0</v>
      </c>
      <c r="L79" s="38">
        <f t="shared" ca="1" si="58"/>
        <v>0</v>
      </c>
      <c r="M79" s="38">
        <f t="shared" ref="M79:O79" ca="1" si="59">M61*M25/1000</f>
        <v>0</v>
      </c>
      <c r="N79" s="38">
        <f t="shared" ca="1" si="59"/>
        <v>0</v>
      </c>
      <c r="O79" s="38">
        <f t="shared" ca="1" si="59"/>
        <v>0</v>
      </c>
    </row>
    <row r="80" spans="1:15" x14ac:dyDescent="0.2">
      <c r="A80" s="7" t="s">
        <v>359</v>
      </c>
      <c r="B80" s="7"/>
      <c r="C80" s="7"/>
      <c r="D80" s="64"/>
      <c r="E80" s="20"/>
      <c r="F80" s="38">
        <f t="shared" ref="F80:J83" ca="1" si="60">F62*F28</f>
        <v>4.316559433971924</v>
      </c>
      <c r="G80" s="38">
        <f t="shared" ca="1" si="60"/>
        <v>2.5427011126584294</v>
      </c>
      <c r="H80" s="38">
        <f t="shared" ca="1" si="60"/>
        <v>1.5619223971007088</v>
      </c>
      <c r="I80" s="38">
        <f t="shared" ca="1" si="60"/>
        <v>1.0164175604546712</v>
      </c>
      <c r="J80" s="38">
        <f t="shared" ca="1" si="60"/>
        <v>0.70430841265241673</v>
      </c>
      <c r="K80" s="38">
        <f t="shared" ref="K80:L80" ca="1" si="61">K62*K28</f>
        <v>0.56622852521082689</v>
      </c>
      <c r="L80" s="38">
        <f t="shared" ca="1" si="61"/>
        <v>0.55568236421307049</v>
      </c>
      <c r="M80" s="38">
        <f t="shared" ref="M80:O80" ca="1" si="62">M62*M28</f>
        <v>0.54090698083582012</v>
      </c>
      <c r="N80" s="38">
        <f t="shared" ca="1" si="62"/>
        <v>0.53295832588154768</v>
      </c>
      <c r="O80" s="38">
        <f t="shared" ca="1" si="62"/>
        <v>0.52616399636895872</v>
      </c>
    </row>
    <row r="81" spans="1:15" x14ac:dyDescent="0.2">
      <c r="A81" s="7" t="s">
        <v>360</v>
      </c>
      <c r="B81" s="7"/>
      <c r="C81" s="7"/>
      <c r="D81" s="64"/>
      <c r="E81" s="20"/>
      <c r="F81" s="38">
        <f t="shared" ca="1" si="60"/>
        <v>4.1399551854161585</v>
      </c>
      <c r="G81" s="38">
        <f t="shared" ca="1" si="60"/>
        <v>2.4155724866399124</v>
      </c>
      <c r="H81" s="38">
        <f t="shared" ca="1" si="60"/>
        <v>1.4850782396170765</v>
      </c>
      <c r="I81" s="38">
        <f t="shared" ca="1" si="60"/>
        <v>0.97686308937795696</v>
      </c>
      <c r="J81" s="38">
        <f t="shared" ca="1" si="60"/>
        <v>0.69279793213284768</v>
      </c>
      <c r="K81" s="38">
        <f t="shared" ref="K81:L81" ca="1" si="63">K63*K29</f>
        <v>0.56369970835597361</v>
      </c>
      <c r="L81" s="38">
        <f t="shared" ca="1" si="63"/>
        <v>0.55395773381367941</v>
      </c>
      <c r="M81" s="38">
        <f t="shared" ref="M81:O81" ca="1" si="64">M63*M29</f>
        <v>0.54773274798669036</v>
      </c>
      <c r="N81" s="38">
        <f t="shared" ca="1" si="64"/>
        <v>0.5402010950879339</v>
      </c>
      <c r="O81" s="38">
        <f t="shared" ca="1" si="64"/>
        <v>0.53376387015791293</v>
      </c>
    </row>
    <row r="82" spans="1:15" x14ac:dyDescent="0.2">
      <c r="A82" s="7" t="s">
        <v>100</v>
      </c>
      <c r="B82" s="7"/>
      <c r="C82" s="7"/>
      <c r="D82" s="64"/>
      <c r="E82" s="20"/>
      <c r="F82" s="38">
        <f t="shared" ca="1" si="60"/>
        <v>11.015801603192585</v>
      </c>
      <c r="G82" s="38">
        <f t="shared" ca="1" si="60"/>
        <v>6.3387797883455654</v>
      </c>
      <c r="H82" s="38">
        <f t="shared" ca="1" si="60"/>
        <v>3.8157386988283775</v>
      </c>
      <c r="I82" s="38">
        <f t="shared" ca="1" si="60"/>
        <v>2.439454297756003</v>
      </c>
      <c r="J82" s="38">
        <f t="shared" ca="1" si="60"/>
        <v>1.6685713981139474</v>
      </c>
      <c r="K82" s="38">
        <f t="shared" ref="K82:L82" ca="1" si="65">K64*K30</f>
        <v>1.328768129499007</v>
      </c>
      <c r="L82" s="38">
        <f t="shared" ca="1" si="65"/>
        <v>1.30428322665769</v>
      </c>
      <c r="M82" s="38">
        <f t="shared" ref="M82:O82" ca="1" si="66">M64*M30</f>
        <v>1.2733923349268288</v>
      </c>
      <c r="N82" s="38">
        <f t="shared" ca="1" si="66"/>
        <v>1.2547835694960086</v>
      </c>
      <c r="O82" s="38">
        <f t="shared" ca="1" si="66"/>
        <v>1.2388854784279626</v>
      </c>
    </row>
    <row r="83" spans="1:15" x14ac:dyDescent="0.2">
      <c r="A83" s="7" t="s">
        <v>101</v>
      </c>
      <c r="B83" s="7"/>
      <c r="C83" s="7"/>
      <c r="D83" s="64"/>
      <c r="E83" s="83"/>
      <c r="F83" s="38">
        <f t="shared" ca="1" si="60"/>
        <v>1.0184608884537256</v>
      </c>
      <c r="G83" s="38">
        <f t="shared" ca="1" si="60"/>
        <v>0.96790929926077651</v>
      </c>
      <c r="H83" s="38">
        <f t="shared" ca="1" si="60"/>
        <v>0.93737870092465148</v>
      </c>
      <c r="I83" s="38">
        <f t="shared" ca="1" si="60"/>
        <v>0.9168281421960357</v>
      </c>
      <c r="J83" s="38">
        <f t="shared" ca="1" si="60"/>
        <v>0.91373208080014279</v>
      </c>
      <c r="K83" s="38">
        <f t="shared" ref="K83:L83" ca="1" si="67">K65*K31</f>
        <v>0.90188235049594223</v>
      </c>
      <c r="L83" s="38">
        <f t="shared" ca="1" si="67"/>
        <v>0.88516829582074086</v>
      </c>
      <c r="M83" s="38">
        <f t="shared" ref="M83:O83" ca="1" si="68">M65*M31</f>
        <v>0.86524431335380514</v>
      </c>
      <c r="N83" s="38">
        <f t="shared" ca="1" si="68"/>
        <v>0.8525329204872788</v>
      </c>
      <c r="O83" s="38">
        <f t="shared" ca="1" si="68"/>
        <v>0.84167375893241958</v>
      </c>
    </row>
    <row r="84" spans="1:15" x14ac:dyDescent="0.2">
      <c r="A84" s="45" t="s">
        <v>102</v>
      </c>
      <c r="B84" s="45"/>
      <c r="C84" s="45"/>
      <c r="D84" s="64"/>
      <c r="E84" s="53">
        <f>'Cost Input'!E34</f>
        <v>0.8</v>
      </c>
      <c r="F84" s="38">
        <f ca="1">F67*('Cost Input'!$J21/F46)^(1-$E84)</f>
        <v>0.19628001633670394</v>
      </c>
      <c r="G84" s="38">
        <f ca="1">G67*('Cost Input'!$J21/G46)^(1-$E84)</f>
        <v>0.19627116838863387</v>
      </c>
      <c r="H84" s="38">
        <f ca="1">H67*('Cost Input'!$J21/H46)^(1-$E84)</f>
        <v>0.19628231859240566</v>
      </c>
      <c r="I84" s="38">
        <f ca="1">I67*('Cost Input'!$J21/I46)^(1-$E84)</f>
        <v>0.19614098989748602</v>
      </c>
      <c r="J84" s="38">
        <f ca="1">J67*('Cost Input'!$J21/J46)^(1-$E84)</f>
        <v>0.19622719531601354</v>
      </c>
      <c r="K84" s="38">
        <f ca="1">K67*('Cost Input'!$J21/K46)^(1-$E84)</f>
        <v>0.19591611166058123</v>
      </c>
      <c r="L84" s="38">
        <f ca="1">L67*('Cost Input'!$J21/L46)^(1-$E84)</f>
        <v>0.19585639475895936</v>
      </c>
      <c r="M84" s="38">
        <f ca="1">M67*('Cost Input'!$J21/M46)^(1-$E84)</f>
        <v>0.1962862824980838</v>
      </c>
      <c r="N84" s="38">
        <f ca="1">N67*('Cost Input'!$J21/N46)^(1-$E84)</f>
        <v>0.19623625438699538</v>
      </c>
      <c r="O84" s="38">
        <f ca="1">O67*('Cost Input'!$J21/O46)^(1-$E84)</f>
        <v>0.19619321906801546</v>
      </c>
    </row>
    <row r="85" spans="1:15" x14ac:dyDescent="0.2">
      <c r="A85" s="45" t="s">
        <v>103</v>
      </c>
      <c r="B85" s="45"/>
      <c r="C85" s="45"/>
      <c r="D85" s="64"/>
      <c r="E85" s="53">
        <f>'Cost Input'!E35</f>
        <v>0.8</v>
      </c>
      <c r="F85" s="38">
        <f ca="1">F68*('Cost Input'!$J21/F47)^(1-$E85)</f>
        <v>0.22323888973841374</v>
      </c>
      <c r="G85" s="38">
        <f ca="1">G68*('Cost Input'!$J21/G47)^(1-$E85)</f>
        <v>0.22319504324019987</v>
      </c>
      <c r="H85" s="38">
        <f ca="1">H68*('Cost Input'!$J21/H47)^(1-$E85)</f>
        <v>0.22325029869444676</v>
      </c>
      <c r="I85" s="38">
        <f ca="1">I68*('Cost Input'!$J21/I47)^(1-$E85)</f>
        <v>0.22254993649517818</v>
      </c>
      <c r="J85" s="38">
        <f ca="1">J68*('Cost Input'!$J21/J47)^(1-$E85)</f>
        <v>0.22297713223588136</v>
      </c>
      <c r="K85" s="38">
        <f ca="1">K68*('Cost Input'!$J21/K47)^(1-$E85)</f>
        <v>0.22143553989896123</v>
      </c>
      <c r="L85" s="38">
        <f ca="1">L68*('Cost Input'!$J21/L47)^(1-$E85)</f>
        <v>0.2211396094753684</v>
      </c>
      <c r="M85" s="38">
        <f ca="1">M68*('Cost Input'!$J21/M47)^(1-$E85)</f>
        <v>0.2232699420492518</v>
      </c>
      <c r="N85" s="38">
        <f ca="1">N68*('Cost Input'!$J21/N47)^(1-$E85)</f>
        <v>0.22302202496541343</v>
      </c>
      <c r="O85" s="38">
        <f ca="1">O68*('Cost Input'!$J21/O47)^(1-$E85)</f>
        <v>0.22280876105135738</v>
      </c>
    </row>
    <row r="86" spans="1:15" x14ac:dyDescent="0.2">
      <c r="A86" s="45" t="s">
        <v>370</v>
      </c>
      <c r="B86" s="45"/>
      <c r="C86" s="45"/>
      <c r="D86" s="64"/>
      <c r="E86" s="53">
        <f>'Cost Input'!E36</f>
        <v>0.8</v>
      </c>
      <c r="F86" s="38">
        <f ca="1">F69*('Cost Input'!$J21/F48)^(1-$E86)</f>
        <v>0.24753679091947642</v>
      </c>
      <c r="G86" s="38">
        <f ca="1">G69*('Cost Input'!$J21/G48)^(1-$E86)</f>
        <v>0.24577582177304627</v>
      </c>
      <c r="H86" s="38">
        <f ca="1">H69*('Cost Input'!$J21/H48)^(1-$E86)</f>
        <v>0.24518359904581549</v>
      </c>
      <c r="I86" s="38">
        <f ca="1">I69*('Cost Input'!$J21/I48)^(1-$E86)</f>
        <v>0.24148326570140549</v>
      </c>
      <c r="J86" s="38">
        <f ca="1">J69*('Cost Input'!$J21/J48)^(1-$E86)</f>
        <v>0.24317963509315399</v>
      </c>
      <c r="K86" s="38">
        <f ca="1">K69*('Cost Input'!$J21/K48)^(1-$E86)</f>
        <v>0.23609409490345357</v>
      </c>
      <c r="L86" s="38">
        <f ca="1">L69*('Cost Input'!$J21/L48)^(1-$E86)</f>
        <v>0.23471051664331263</v>
      </c>
      <c r="M86" s="38">
        <f ca="1">M69*('Cost Input'!$J21/M48)^(1-$E86)</f>
        <v>0.24418003060115367</v>
      </c>
      <c r="N86" s="38">
        <f ca="1">N69*('Cost Input'!$J21/N48)^(1-$E86)</f>
        <v>0.24296655336776196</v>
      </c>
      <c r="O86" s="38">
        <f ca="1">O69*('Cost Input'!$J21/O48)^(1-$E86)</f>
        <v>0.2419290761828263</v>
      </c>
    </row>
    <row r="87" spans="1:15" x14ac:dyDescent="0.2">
      <c r="A87" s="7" t="s">
        <v>104</v>
      </c>
      <c r="B87" s="7"/>
      <c r="C87" s="7"/>
      <c r="D87" s="3"/>
      <c r="F87" s="38">
        <f t="shared" ref="F87:K87" ca="1" si="69">SUM(F72:F83)</f>
        <v>30.336219411982484</v>
      </c>
      <c r="G87" s="38">
        <f t="shared" ca="1" si="69"/>
        <v>22.084307780314717</v>
      </c>
      <c r="H87" s="38">
        <f t="shared" ca="1" si="69"/>
        <v>17.58198245964795</v>
      </c>
      <c r="I87" s="38">
        <f t="shared" ca="1" si="69"/>
        <v>15.080634121710609</v>
      </c>
      <c r="J87" s="38">
        <f t="shared" ca="1" si="69"/>
        <v>13.769978117180441</v>
      </c>
      <c r="K87" s="38">
        <f t="shared" ca="1" si="69"/>
        <v>13.076673701085348</v>
      </c>
      <c r="L87" s="38">
        <f t="shared" ref="L87:O87" ca="1" si="70">SUM(L72:L83)</f>
        <v>12.844034360765184</v>
      </c>
      <c r="M87" s="38">
        <f t="shared" ca="1" si="70"/>
        <v>12.556085350072816</v>
      </c>
      <c r="N87" s="38">
        <f t="shared" ca="1" si="70"/>
        <v>12.378973768059005</v>
      </c>
      <c r="O87" s="38">
        <f t="shared" ca="1" si="70"/>
        <v>12.227588206028516</v>
      </c>
    </row>
    <row r="88" spans="1:15" x14ac:dyDescent="0.2">
      <c r="A88" s="45" t="s">
        <v>105</v>
      </c>
      <c r="B88" s="45"/>
      <c r="C88" s="45"/>
      <c r="D88" s="3"/>
      <c r="F88" s="38">
        <f t="shared" ref="F88:K88" ca="1" si="71">SUM(F84:F87)</f>
        <v>31.003275108977078</v>
      </c>
      <c r="G88" s="38">
        <f t="shared" ca="1" si="71"/>
        <v>22.749549813716598</v>
      </c>
      <c r="H88" s="38">
        <f t="shared" ca="1" si="71"/>
        <v>18.246698675980618</v>
      </c>
      <c r="I88" s="38">
        <f t="shared" ca="1" si="71"/>
        <v>15.740808313804679</v>
      </c>
      <c r="J88" s="38">
        <f t="shared" ca="1" si="71"/>
        <v>14.43236207982549</v>
      </c>
      <c r="K88" s="38">
        <f t="shared" ca="1" si="71"/>
        <v>13.730119447548343</v>
      </c>
      <c r="L88" s="38">
        <f t="shared" ref="L88:O88" ca="1" si="72">SUM(L84:L87)</f>
        <v>13.495740881642824</v>
      </c>
      <c r="M88" s="38">
        <f t="shared" ca="1" si="72"/>
        <v>13.219821605221306</v>
      </c>
      <c r="N88" s="38">
        <f t="shared" ca="1" si="72"/>
        <v>13.041198600779175</v>
      </c>
      <c r="O88" s="38">
        <f t="shared" ca="1" si="72"/>
        <v>12.888519262330716</v>
      </c>
    </row>
    <row r="89" spans="1:15" ht="15" x14ac:dyDescent="0.25">
      <c r="A89" s="258" t="s">
        <v>507</v>
      </c>
      <c r="B89" s="5"/>
      <c r="C89" s="5"/>
      <c r="D89" s="3"/>
      <c r="F89" s="38"/>
      <c r="G89" s="38"/>
      <c r="H89" s="38"/>
      <c r="I89" s="38"/>
      <c r="J89" s="38"/>
      <c r="K89" s="38"/>
      <c r="L89" s="38"/>
      <c r="M89" s="38"/>
      <c r="N89" s="38"/>
      <c r="O89" s="38"/>
    </row>
    <row r="90" spans="1:15" x14ac:dyDescent="0.2">
      <c r="A90" s="48" t="s">
        <v>377</v>
      </c>
      <c r="B90" s="45"/>
      <c r="C90" s="45"/>
      <c r="D90" s="2"/>
      <c r="E90" s="53">
        <f>'Cost Input'!E37</f>
        <v>0.8</v>
      </c>
      <c r="F90" s="431">
        <f ca="1">('Cost Input'!$J20/F49)^(1-$E90)*('Battery Design'!F127/'Battery Design'!F58*'Cost Input'!$C37/1000+'Cost Input'!$D37)</f>
        <v>0.18312919945556563</v>
      </c>
      <c r="G90" s="431">
        <f ca="1">('Cost Input'!$J20/G49)^(1-$E90)*('Battery Design'!G127/'Battery Design'!G58*'Cost Input'!$C37/1000+'Cost Input'!$D37)</f>
        <v>0.18276828028325809</v>
      </c>
      <c r="H90" s="431">
        <f ca="1">('Cost Input'!$J20/H49)^(1-$E90)*('Battery Design'!H127/'Battery Design'!H58*'Cost Input'!$C37/1000+'Cost Input'!$D37)</f>
        <v>0.18310864931988863</v>
      </c>
      <c r="I90" s="431">
        <f ca="1">('Cost Input'!$J20/I49)^(1-$E90)*('Battery Design'!I127/'Battery Design'!I58*'Cost Input'!$C37/1000+'Cost Input'!$D37)</f>
        <v>0.17883443689310119</v>
      </c>
      <c r="J90" s="431">
        <f ca="1">('Cost Input'!$J20/J49)^(1-$E90)*('Battery Design'!J127/'Battery Design'!J58*'Cost Input'!$C37/1000+'Cost Input'!$D37)</f>
        <v>0.18143123135470068</v>
      </c>
      <c r="K90" s="431">
        <f ca="1">('Cost Input'!$J20/K49)^(1-$E90)*('Battery Design'!K127/'Battery Design'!K58*'Cost Input'!$C37/1000+'Cost Input'!$D37)</f>
        <v>0.17221230142612332</v>
      </c>
      <c r="L90" s="431">
        <f ca="1">('Cost Input'!$J20/L49)^(1-$E90)*('Battery Design'!L127/'Battery Design'!L58*'Cost Input'!$C37/1000+'Cost Input'!$D37)</f>
        <v>0.17049069299175446</v>
      </c>
      <c r="M90" s="431">
        <f ca="1">('Cost Input'!$J20/M49)^(1-$E90)*('Battery Design'!M127/'Battery Design'!M58*'Cost Input'!$C37/1000+'Cost Input'!$D37)</f>
        <v>0.18322978089211392</v>
      </c>
      <c r="N90" s="431">
        <f ca="1">('Cost Input'!$J20/N49)^(1-$E90)*('Battery Design'!N127/'Battery Design'!N58*'Cost Input'!$C37/1000+'Cost Input'!$D37)</f>
        <v>0.18170599523787037</v>
      </c>
      <c r="O90" s="431">
        <f ca="1">('Cost Input'!$J20/O49)^(1-$E90)*('Battery Design'!O127/'Battery Design'!O58*'Cost Input'!$C37/1000+'Cost Input'!$D37)</f>
        <v>0.18040389917100105</v>
      </c>
    </row>
    <row r="91" spans="1:15" x14ac:dyDescent="0.2">
      <c r="A91" s="48" t="s">
        <v>378</v>
      </c>
      <c r="B91" s="45"/>
      <c r="C91" s="45"/>
      <c r="D91" s="64"/>
      <c r="E91" s="39"/>
      <c r="F91" s="431">
        <f ca="1">F90*'Battery Design'!F58</f>
        <v>5.4938759836669693</v>
      </c>
      <c r="G91" s="431">
        <f ca="1">G90*'Battery Design'!G58</f>
        <v>5.4830484084977424</v>
      </c>
      <c r="H91" s="431">
        <f ca="1">H90*'Battery Design'!H58</f>
        <v>5.4932594795966585</v>
      </c>
      <c r="I91" s="431">
        <f ca="1">I90*'Battery Design'!I58</f>
        <v>5.3650331067930352</v>
      </c>
      <c r="J91" s="431">
        <f ca="1">J90*'Battery Design'!J58</f>
        <v>5.4429369406410206</v>
      </c>
      <c r="K91" s="431">
        <f ca="1">K90*'Battery Design'!K58</f>
        <v>5.1663690427836997</v>
      </c>
      <c r="L91" s="431">
        <f ca="1">L90*'Battery Design'!L58</f>
        <v>5.1147207897526332</v>
      </c>
      <c r="M91" s="431">
        <f ca="1">M90*'Battery Design'!M58</f>
        <v>5.4968934267634175</v>
      </c>
      <c r="N91" s="431">
        <f ca="1">N90*'Battery Design'!N58</f>
        <v>5.4511798571361112</v>
      </c>
      <c r="O91" s="431">
        <f ca="1">O90*'Battery Design'!O58</f>
        <v>5.412116975130032</v>
      </c>
    </row>
    <row r="92" spans="1:15" x14ac:dyDescent="0.2">
      <c r="A92" s="7" t="s">
        <v>379</v>
      </c>
      <c r="B92" s="45"/>
      <c r="C92" s="45"/>
      <c r="F92" s="38">
        <f ca="1">IF('Battery Design'!F59=1,0,'Battery Design'!F58/'Battery Design'!F59*2*('Cost Input'!$D35+'Battery Design'!F116/1000*'Cost Input'!$C35))</f>
        <v>8.9571508409013969</v>
      </c>
      <c r="G92" s="38">
        <f ca="1">IF('Battery Design'!G59=1,0,'Battery Design'!G58/'Battery Design'!G59*2*('Cost Input'!$D35+'Battery Design'!G116/1000*'Cost Input'!$C35))</f>
        <v>8.6871365900007671</v>
      </c>
      <c r="H92" s="38">
        <f ca="1">IF('Battery Design'!H59=1,0,'Battery Design'!H58/'Battery Design'!H59*2*('Cost Input'!$D35+'Battery Design'!H116/1000*'Cost Input'!$C35))</f>
        <v>8.5310530917256884</v>
      </c>
      <c r="I92" s="38">
        <f ca="1">IF('Battery Design'!I59=1,0,'Battery Design'!I58/'Battery Design'!I59*2*('Cost Input'!$D35+'Battery Design'!I116/1000*'Cost Input'!$C35))</f>
        <v>8.4587130889934272</v>
      </c>
      <c r="J92" s="38">
        <f ca="1">IF('Battery Design'!J59=1,0,'Battery Design'!J58/'Battery Design'!J59*2*('Cost Input'!$D35+'Battery Design'!J116/1000*'Cost Input'!$C35))</f>
        <v>8.4019170824856459</v>
      </c>
      <c r="K92" s="38">
        <f ca="1">IF('Battery Design'!K59=1,0,'Battery Design'!K58/'Battery Design'!K59*2*('Cost Input'!$D35+'Battery Design'!K116/1000*'Cost Input'!$C35))</f>
        <v>8.4107774007423792</v>
      </c>
      <c r="L92" s="38">
        <f ca="1">IF('Battery Design'!L59=1,0,'Battery Design'!L58/'Battery Design'!L59*2*('Cost Input'!$D35+'Battery Design'!L116/1000*'Cost Input'!$C35))</f>
        <v>8.4017776070967045</v>
      </c>
      <c r="M92" s="38">
        <f ca="1">IF('Battery Design'!M59=1,0,'Battery Design'!M58/'Battery Design'!M59*2*('Cost Input'!$D35+'Battery Design'!M116/1000*'Cost Input'!$C35))</f>
        <v>8.330764654691297</v>
      </c>
      <c r="N92" s="38">
        <f ca="1">IF('Battery Design'!N59=1,0,'Battery Design'!N58/'Battery Design'!N59*2*('Cost Input'!$D35+'Battery Design'!N116/1000*'Cost Input'!$C35))</f>
        <v>8.3242934992764326</v>
      </c>
      <c r="O92" s="38">
        <f ca="1">IF('Battery Design'!O59=1,0,'Battery Design'!O58/'Battery Design'!O59*2*('Cost Input'!$D35+'Battery Design'!O116/1000*'Cost Input'!$C35))</f>
        <v>8.3187280485237913</v>
      </c>
    </row>
    <row r="93" spans="1:15" x14ac:dyDescent="0.2">
      <c r="A93" s="7" t="s">
        <v>40</v>
      </c>
      <c r="B93" s="7"/>
      <c r="C93" s="7"/>
      <c r="F93" s="38">
        <f ca="1">'Battery Design'!F58/'Battery Design'!F59*('Cost Input'!$E$41+'Cost Input'!$E$42*'Battery Design'!F76)</f>
        <v>98.416747869563025</v>
      </c>
      <c r="G93" s="38">
        <f ca="1">'Battery Design'!G58/'Battery Design'!G59*('Cost Input'!$E$41+'Cost Input'!$E$42*'Battery Design'!G76)</f>
        <v>98.247780241686655</v>
      </c>
      <c r="H93" s="38">
        <f ca="1">'Battery Design'!H58/'Battery Design'!H59*('Cost Input'!$E$41+'Cost Input'!$E$42*'Battery Design'!H76)</f>
        <v>98.005146157254629</v>
      </c>
      <c r="I93" s="38">
        <f ca="1">'Battery Design'!I58/'Battery Design'!I59*('Cost Input'!$E$41+'Cost Input'!$E$42*'Battery Design'!I76)</f>
        <v>97.67639971778226</v>
      </c>
      <c r="J93" s="38">
        <f ca="1">'Battery Design'!J58/'Battery Design'!J59*('Cost Input'!$E$41+'Cost Input'!$E$42*'Battery Design'!J76)</f>
        <v>98.061487525842864</v>
      </c>
      <c r="K93" s="38">
        <f ca="1">'Battery Design'!K58/'Battery Design'!K59*('Cost Input'!$E$41+'Cost Input'!$E$42*'Battery Design'!K76)</f>
        <v>97.579486455266689</v>
      </c>
      <c r="L93" s="38">
        <f ca="1">'Battery Design'!L58/'Battery Design'!L59*('Cost Input'!$E$41+'Cost Input'!$E$42*'Battery Design'!L76)</f>
        <v>96.472415660930238</v>
      </c>
      <c r="M93" s="38">
        <f ca="1">'Battery Design'!M58/'Battery Design'!M59*('Cost Input'!$E$41+'Cost Input'!$E$42*'Battery Design'!M76)</f>
        <v>95.075701764702742</v>
      </c>
      <c r="N93" s="38">
        <f ca="1">'Battery Design'!N58/'Battery Design'!N59*('Cost Input'!$E$41+'Cost Input'!$E$42*'Battery Design'!N76)</f>
        <v>94.234317142487498</v>
      </c>
      <c r="O93" s="38">
        <f ca="1">'Battery Design'!O58/'Battery Design'!O59*('Cost Input'!$E$41+'Cost Input'!$E$42*'Battery Design'!O76)</f>
        <v>93.515494101971456</v>
      </c>
    </row>
    <row r="94" spans="1:15" x14ac:dyDescent="0.2">
      <c r="A94" s="7" t="s">
        <v>387</v>
      </c>
      <c r="B94" s="7"/>
      <c r="C94" s="7"/>
      <c r="F94" s="38">
        <f ca="1">'Cost Input'!$E$44*'Battery Design'!F120/1000+'Cost Input'!$E$45</f>
        <v>0.95578669941940142</v>
      </c>
      <c r="G94" s="38">
        <f ca="1">'Cost Input'!$E$44*'Battery Design'!G120/1000+'Cost Input'!$E$45</f>
        <v>0.95578669941940142</v>
      </c>
      <c r="H94" s="38">
        <f ca="1">'Cost Input'!$E$44*'Battery Design'!H120/1000+'Cost Input'!$E$45</f>
        <v>0.95578669941940142</v>
      </c>
      <c r="I94" s="38">
        <f ca="1">'Cost Input'!$E$44*'Battery Design'!I120/1000+'Cost Input'!$E$45</f>
        <v>0.95578669941940142</v>
      </c>
      <c r="J94" s="38">
        <f ca="1">'Cost Input'!$E$44*'Battery Design'!J120/1000+'Cost Input'!$E$45</f>
        <v>0.95578669941940142</v>
      </c>
      <c r="K94" s="38">
        <f ca="1">'Cost Input'!$E$44*'Battery Design'!K120/1000+'Cost Input'!$E$45</f>
        <v>0.9522749687947264</v>
      </c>
      <c r="L94" s="38">
        <f ca="1">'Cost Input'!$E$44*'Battery Design'!L120/1000+'Cost Input'!$E$45</f>
        <v>0.9445848877262466</v>
      </c>
      <c r="M94" s="38">
        <f ca="1">'Cost Input'!$E$44*'Battery Design'!M120/1000+'Cost Input'!$E$45</f>
        <v>0.94132109282373133</v>
      </c>
      <c r="N94" s="38">
        <f ca="1">'Cost Input'!$E$44*'Battery Design'!N120/1000+'Cost Input'!$E$45</f>
        <v>0.93613448584867687</v>
      </c>
      <c r="O94" s="38">
        <f ca="1">'Cost Input'!$E$44*'Battery Design'!O120/1000+'Cost Input'!$E$45</f>
        <v>0.93170608210374184</v>
      </c>
    </row>
    <row r="95" spans="1:15" x14ac:dyDescent="0.2">
      <c r="A95" s="7" t="s">
        <v>21</v>
      </c>
      <c r="B95" s="7"/>
      <c r="C95" s="7"/>
      <c r="F95" s="219">
        <f ca="1">'Cost Input'!$E$47*'Battery Design'!F128/1000+'Cost Input'!$E$48</f>
        <v>2.9772638474502857</v>
      </c>
      <c r="G95" s="219">
        <f ca="1">'Cost Input'!$E$47*'Battery Design'!G128/1000+'Cost Input'!$E$48</f>
        <v>2.7180411409969008</v>
      </c>
      <c r="H95" s="219">
        <f ca="1">'Cost Input'!$E$47*'Battery Design'!H128/1000+'Cost Input'!$E$48</f>
        <v>2.570751572431794</v>
      </c>
      <c r="I95" s="219">
        <f ca="1">'Cost Input'!$E$47*'Battery Design'!I128/1000+'Cost Input'!$E$48</f>
        <v>2.4842801649429571</v>
      </c>
      <c r="J95" s="219">
        <f ca="1">'Cost Input'!$E$47*'Battery Design'!J128/1000+'Cost Input'!$E$48</f>
        <v>2.4408037913797576</v>
      </c>
      <c r="K95" s="219">
        <f ca="1">'Cost Input'!$E$47*'Battery Design'!K128/1000+'Cost Input'!$E$48</f>
        <v>2.4112622713962031</v>
      </c>
      <c r="L95" s="219">
        <f ca="1">'Cost Input'!$E$47*'Battery Design'!L128/1000+'Cost Input'!$E$48</f>
        <v>2.3955765772498077</v>
      </c>
      <c r="M95" s="219">
        <f ca="1">'Cost Input'!$E$47*'Battery Design'!M128/1000+'Cost Input'!$E$48</f>
        <v>2.3805124011529566</v>
      </c>
      <c r="N95" s="219">
        <f ca="1">'Cost Input'!$E$47*'Battery Design'!N128/1000+'Cost Input'!$E$48</f>
        <v>2.3679553010894017</v>
      </c>
      <c r="O95" s="219">
        <f ca="1">'Cost Input'!$E$47*'Battery Design'!O128/1000+'Cost Input'!$E$48</f>
        <v>2.3571884265685314</v>
      </c>
    </row>
    <row r="96" spans="1:15" x14ac:dyDescent="0.2">
      <c r="A96" s="7" t="s">
        <v>380</v>
      </c>
      <c r="B96" s="7"/>
      <c r="C96" s="7"/>
      <c r="F96" s="38">
        <f ca="1">SUM(F91:F95)</f>
        <v>116.80082524100108</v>
      </c>
      <c r="G96" s="38">
        <f t="shared" ref="G96:K96" ca="1" si="73">SUM(G91:G95)</f>
        <v>116.09179308060148</v>
      </c>
      <c r="H96" s="38">
        <f t="shared" ca="1" si="73"/>
        <v>115.55599700042816</v>
      </c>
      <c r="I96" s="38">
        <f t="shared" ca="1" si="73"/>
        <v>114.94021277793109</v>
      </c>
      <c r="J96" s="38">
        <f t="shared" ca="1" si="73"/>
        <v>115.30293203976871</v>
      </c>
      <c r="K96" s="38">
        <f t="shared" ca="1" si="73"/>
        <v>114.52017013898369</v>
      </c>
      <c r="L96" s="38">
        <f t="shared" ref="L96:O96" ca="1" si="74">SUM(L91:L95)</f>
        <v>113.32907552275564</v>
      </c>
      <c r="M96" s="38">
        <f t="shared" ca="1" si="74"/>
        <v>112.22519334013414</v>
      </c>
      <c r="N96" s="38">
        <f t="shared" ca="1" si="74"/>
        <v>111.31388028583812</v>
      </c>
      <c r="O96" s="38">
        <f t="shared" ca="1" si="74"/>
        <v>110.53523363429755</v>
      </c>
    </row>
    <row r="97" spans="1:16" ht="15" x14ac:dyDescent="0.25">
      <c r="A97" s="258" t="s">
        <v>381</v>
      </c>
      <c r="B97" s="7"/>
      <c r="C97" s="7"/>
      <c r="F97" s="38"/>
      <c r="G97" s="38"/>
      <c r="H97" s="38"/>
      <c r="I97" s="38"/>
      <c r="J97" s="38"/>
      <c r="K97" s="38"/>
      <c r="L97" s="38"/>
      <c r="M97" s="38"/>
      <c r="N97" s="38"/>
      <c r="O97" s="38"/>
    </row>
    <row r="98" spans="1:16" x14ac:dyDescent="0.2">
      <c r="A98" s="7" t="s">
        <v>433</v>
      </c>
      <c r="B98" s="7"/>
      <c r="C98" s="7"/>
      <c r="F98" s="38">
        <f ca="1">('Battery Design'!F62+1)*('Cost Input'!$E51*'Battery Design'!F154/1000*'Cost Input'!$E51+'Cost Input'!$E52)</f>
        <v>20.575501842341332</v>
      </c>
      <c r="G98" s="38">
        <f ca="1">('Battery Design'!G62+1)*('Cost Input'!$E51*'Battery Design'!G154/1000*'Cost Input'!$E51+'Cost Input'!$E52)</f>
        <v>20.575501842341332</v>
      </c>
      <c r="H98" s="38">
        <f ca="1">('Battery Design'!H62+1)*('Cost Input'!$E51*'Battery Design'!H154/1000*'Cost Input'!$E51+'Cost Input'!$E52)</f>
        <v>20.575501842341332</v>
      </c>
      <c r="I98" s="38">
        <f ca="1">('Battery Design'!I62+1)*('Cost Input'!$E51*'Battery Design'!I154/1000*'Cost Input'!$E51+'Cost Input'!$E52)</f>
        <v>20.575501842341332</v>
      </c>
      <c r="J98" s="38">
        <f ca="1">('Battery Design'!J62+1)*('Cost Input'!$E51*'Battery Design'!J154/1000*'Cost Input'!$E51+'Cost Input'!$E52)</f>
        <v>20.575501842341332</v>
      </c>
      <c r="K98" s="38">
        <f ca="1">('Battery Design'!K62+1)*('Cost Input'!$E51*'Battery Design'!K154/1000*'Cost Input'!$E51+'Cost Input'!$E52)</f>
        <v>20.377966994792274</v>
      </c>
      <c r="L98" s="38">
        <f ca="1">('Battery Design'!L62+1)*('Cost Input'!$E51*'Battery Design'!L154/1000*'Cost Input'!$E51+'Cost Input'!$E52)</f>
        <v>19.945399934681948</v>
      </c>
      <c r="M98" s="38">
        <f ca="1">('Battery Design'!M62+1)*('Cost Input'!$E51*'Battery Design'!M154/1000*'Cost Input'!$E51+'Cost Input'!$E52)</f>
        <v>19.761811471334884</v>
      </c>
      <c r="N98" s="38">
        <f ca="1">('Battery Design'!N62+1)*('Cost Input'!$E51*'Battery Design'!N154/1000*'Cost Input'!$E51+'Cost Input'!$E52)</f>
        <v>19.470064828988068</v>
      </c>
      <c r="O98" s="38">
        <f ca="1">('Battery Design'!O62+1)*('Cost Input'!$E51*'Battery Design'!O154/1000*'Cost Input'!$E51+'Cost Input'!$E52)</f>
        <v>19.22096711833548</v>
      </c>
      <c r="P98" s="427"/>
    </row>
    <row r="99" spans="1:16" x14ac:dyDescent="0.2">
      <c r="A99" t="s">
        <v>407</v>
      </c>
      <c r="B99" s="7"/>
      <c r="C99" s="7"/>
      <c r="F99" s="38">
        <f ca="1">'Battery Design'!F155/1000*'Cost Input'!$E53</f>
        <v>6.1412953608495293</v>
      </c>
      <c r="G99" s="38">
        <f ca="1">'Battery Design'!G155/1000*'Cost Input'!$E53</f>
        <v>6.1226736242777822</v>
      </c>
      <c r="H99" s="38">
        <f ca="1">'Battery Design'!H155/1000*'Cost Input'!$E53</f>
        <v>6.1400792602108867</v>
      </c>
      <c r="I99" s="38">
        <f ca="1">'Battery Design'!I155/1000*'Cost Input'!$E53</f>
        <v>5.9212909692447484</v>
      </c>
      <c r="J99" s="38">
        <f ca="1">'Battery Design'!J155/1000*'Cost Input'!$E53</f>
        <v>6.0542718265645732</v>
      </c>
      <c r="K99" s="38">
        <f ca="1">'Battery Design'!K155/1000*'Cost Input'!$E53</f>
        <v>5.5813432870549535</v>
      </c>
      <c r="L99" s="38">
        <f ca="1">'Battery Design'!L155/1000*'Cost Input'!$E53</f>
        <v>5.4927579980496857</v>
      </c>
      <c r="M99" s="38">
        <f ca="1">'Battery Design'!M155/1000*'Cost Input'!$E53</f>
        <v>6.1462729290926497</v>
      </c>
      <c r="N99" s="38">
        <f ca="1">'Battery Design'!N155/1000*'Cost Input'!$E53</f>
        <v>6.0683321334108546</v>
      </c>
      <c r="O99" s="38">
        <f ca="1">'Battery Design'!O155/1000*'Cost Input'!$E53</f>
        <v>6.0016836065782728</v>
      </c>
    </row>
    <row r="100" spans="1:16" x14ac:dyDescent="0.2">
      <c r="A100" t="s">
        <v>406</v>
      </c>
      <c r="B100" s="7"/>
      <c r="C100" s="7"/>
      <c r="F100" s="38">
        <f ca="1">'Cost Input'!$E55+'Cost Input'!$E56*ROUNDUP('Battery Design'!F141,-2)</f>
        <v>23</v>
      </c>
      <c r="G100" s="38">
        <f ca="1">'Cost Input'!$E55+'Cost Input'!$E56*ROUNDUP('Battery Design'!G141,-2)</f>
        <v>23</v>
      </c>
      <c r="H100" s="38">
        <f ca="1">'Cost Input'!$E55+'Cost Input'!$E56*ROUNDUP('Battery Design'!H141,-2)</f>
        <v>23</v>
      </c>
      <c r="I100" s="38">
        <f ca="1">'Cost Input'!$E55+'Cost Input'!$E56*ROUNDUP('Battery Design'!I141,-2)</f>
        <v>23</v>
      </c>
      <c r="J100" s="38">
        <f ca="1">'Cost Input'!$E55+'Cost Input'!$E56*ROUNDUP('Battery Design'!J141,-2)</f>
        <v>23</v>
      </c>
      <c r="K100" s="38">
        <f ca="1">'Cost Input'!$E55+'Cost Input'!$E56*ROUNDUP('Battery Design'!K141,-2)</f>
        <v>23</v>
      </c>
      <c r="L100" s="38">
        <f ca="1">'Cost Input'!$E55+'Cost Input'!$E56*ROUNDUP('Battery Design'!L141,-2)</f>
        <v>21</v>
      </c>
      <c r="M100" s="38">
        <f ca="1">'Cost Input'!$E55+'Cost Input'!$E56*ROUNDUP('Battery Design'!M141,-2)</f>
        <v>21</v>
      </c>
      <c r="N100" s="38">
        <f ca="1">'Cost Input'!$E55+'Cost Input'!$E56*ROUNDUP('Battery Design'!N141,-2)</f>
        <v>21</v>
      </c>
      <c r="O100" s="38">
        <f ca="1">'Cost Input'!$E55+'Cost Input'!$E56*ROUNDUP('Battery Design'!O141,-2)</f>
        <v>21</v>
      </c>
    </row>
    <row r="101" spans="1:16" x14ac:dyDescent="0.2">
      <c r="A101" t="s">
        <v>459</v>
      </c>
      <c r="B101" s="7"/>
      <c r="C101" s="7"/>
      <c r="F101" s="38">
        <f>IF(AND('Battery Design'!F61=1,'Battery Design'!F60&gt;1),'Cost Input'!$E58,0)</f>
        <v>0</v>
      </c>
      <c r="G101" s="38">
        <f>IF(AND('Battery Design'!G61=1,'Battery Design'!G60&gt;1),'Cost Input'!$E58,0)</f>
        <v>0</v>
      </c>
      <c r="H101" s="38">
        <f>IF(AND('Battery Design'!H61=1,'Battery Design'!H60&gt;1),'Cost Input'!$E58,0)</f>
        <v>0</v>
      </c>
      <c r="I101" s="38">
        <f>IF(AND('Battery Design'!I61=1,'Battery Design'!I60&gt;1),'Cost Input'!$E58,0)</f>
        <v>0</v>
      </c>
      <c r="J101" s="38">
        <f>IF(AND('Battery Design'!J61=1,'Battery Design'!J60&gt;1),'Cost Input'!$E58,0)</f>
        <v>0</v>
      </c>
      <c r="K101" s="38">
        <f>IF(AND('Battery Design'!K61=1,'Battery Design'!K60&gt;1),'Cost Input'!$E58,0)</f>
        <v>0</v>
      </c>
      <c r="L101" s="38">
        <f>IF(AND('Battery Design'!L61=1,'Battery Design'!L60&gt;1),'Cost Input'!$E58,0)</f>
        <v>0</v>
      </c>
      <c r="M101" s="38">
        <f>IF(AND('Battery Design'!M61=1,'Battery Design'!M60&gt;1),'Cost Input'!$E58,0)</f>
        <v>0</v>
      </c>
      <c r="N101" s="38">
        <f>IF(AND('Battery Design'!N61=1,'Battery Design'!N60&gt;1),'Cost Input'!$E58,0)</f>
        <v>0</v>
      </c>
      <c r="O101" s="38">
        <f>IF(AND('Battery Design'!O61=1,'Battery Design'!O60&gt;1),'Cost Input'!$E58,0)</f>
        <v>0</v>
      </c>
      <c r="P101" s="427"/>
    </row>
    <row r="102" spans="1:16" x14ac:dyDescent="0.2">
      <c r="A102" t="s">
        <v>461</v>
      </c>
      <c r="B102" s="7"/>
      <c r="C102" s="7"/>
      <c r="F102" s="38">
        <f>IF('Battery Design'!F63&gt;1,'Cost Input'!$E58*'Battery Design'!F63,0)</f>
        <v>0</v>
      </c>
      <c r="G102" s="38">
        <f>IF('Battery Design'!G63&gt;1,'Cost Input'!$E58*'Battery Design'!G63,0)</f>
        <v>0</v>
      </c>
      <c r="H102" s="38">
        <f>IF('Battery Design'!H63&gt;1,'Cost Input'!$E58*'Battery Design'!H63,0)</f>
        <v>0</v>
      </c>
      <c r="I102" s="38">
        <f>IF('Battery Design'!I63&gt;1,'Cost Input'!$E58*'Battery Design'!I63,0)</f>
        <v>0</v>
      </c>
      <c r="J102" s="38">
        <f>IF('Battery Design'!J63&gt;1,'Cost Input'!$E58*'Battery Design'!J63,0)</f>
        <v>0</v>
      </c>
      <c r="K102" s="38">
        <f>IF('Battery Design'!K63&gt;1,'Cost Input'!$E58*'Battery Design'!K63,0)</f>
        <v>0</v>
      </c>
      <c r="L102" s="38">
        <f>IF('Battery Design'!L63&gt;1,'Cost Input'!$E58*'Battery Design'!L63,0)</f>
        <v>0</v>
      </c>
      <c r="M102" s="38">
        <f>IF('Battery Design'!M63&gt;1,'Cost Input'!$E58*'Battery Design'!M63,0)</f>
        <v>0</v>
      </c>
      <c r="N102" s="38">
        <f>IF('Battery Design'!N63&gt;1,'Cost Input'!$E58*'Battery Design'!N63,0)</f>
        <v>0</v>
      </c>
      <c r="O102" s="38">
        <f>IF('Battery Design'!O63&gt;1,'Cost Input'!$E58*'Battery Design'!O63,0)</f>
        <v>0</v>
      </c>
    </row>
    <row r="103" spans="1:16" x14ac:dyDescent="0.2">
      <c r="A103" t="s">
        <v>460</v>
      </c>
      <c r="B103" s="7"/>
      <c r="C103" s="7"/>
      <c r="F103" s="38">
        <f>IF('Battery Design'!F64&gt;1,'Cost Input'!$E58*'Battery Design'!F64,0)</f>
        <v>0</v>
      </c>
      <c r="G103" s="38">
        <f>IF('Battery Design'!G64&gt;1,'Cost Input'!$E58*'Battery Design'!G64,0)</f>
        <v>0</v>
      </c>
      <c r="H103" s="38">
        <f>IF('Battery Design'!H64&gt;1,'Cost Input'!$E58*'Battery Design'!H64,0)</f>
        <v>0</v>
      </c>
      <c r="I103" s="38">
        <f>IF('Battery Design'!I64&gt;1,'Cost Input'!$E58*'Battery Design'!I64,0)</f>
        <v>0</v>
      </c>
      <c r="J103" s="38">
        <f>IF('Battery Design'!J64&gt;1,'Cost Input'!$E58*'Battery Design'!J64,0)</f>
        <v>0</v>
      </c>
      <c r="K103" s="38">
        <f>IF('Battery Design'!K64&gt;1,'Cost Input'!$E58*'Battery Design'!K64,0)</f>
        <v>0</v>
      </c>
      <c r="L103" s="38">
        <f>IF('Battery Design'!L64&gt;1,'Cost Input'!$E58*'Battery Design'!L64,0)</f>
        <v>0</v>
      </c>
      <c r="M103" s="38">
        <f>IF('Battery Design'!M64&gt;1,'Cost Input'!$E58*'Battery Design'!M64,0)</f>
        <v>0</v>
      </c>
      <c r="N103" s="38">
        <f>IF('Battery Design'!N64&gt;1,'Cost Input'!$E58*'Battery Design'!N64,0)</f>
        <v>0</v>
      </c>
      <c r="O103" s="38">
        <f>IF('Battery Design'!O64&gt;1,'Cost Input'!$E58*'Battery Design'!O64,0)</f>
        <v>0</v>
      </c>
    </row>
    <row r="104" spans="1:16" x14ac:dyDescent="0.2">
      <c r="A104" s="7" t="s">
        <v>383</v>
      </c>
      <c r="B104" s="7"/>
      <c r="C104" s="7"/>
      <c r="F104" s="38">
        <f ca="1">'Cost Input'!$E60*'Battery Design'!F164+'Cost Input'!$E61</f>
        <v>254.93496172786331</v>
      </c>
      <c r="G104" s="38">
        <f ca="1">'Cost Input'!$E60*'Battery Design'!G164+'Cost Input'!$E61</f>
        <v>223.70024764392687</v>
      </c>
      <c r="H104" s="38">
        <f ca="1">'Cost Input'!$E60*'Battery Design'!H164+'Cost Input'!$E61</f>
        <v>205.83454947095561</v>
      </c>
      <c r="I104" s="38">
        <f ca="1">'Cost Input'!$E60*'Battery Design'!I164+'Cost Input'!$E61</f>
        <v>196.1902630042064</v>
      </c>
      <c r="J104" s="38">
        <f ca="1">'Cost Input'!$E60*'Battery Design'!J164+'Cost Input'!$E61</f>
        <v>190.44371247635172</v>
      </c>
      <c r="K104" s="38">
        <f ca="1">'Cost Input'!$E60*'Battery Design'!K164+'Cost Input'!$E61</f>
        <v>188.55909816191794</v>
      </c>
      <c r="L104" s="38">
        <f ca="1">'Cost Input'!$E60*'Battery Design'!L164+'Cost Input'!$E61</f>
        <v>186.86798144698889</v>
      </c>
      <c r="M104" s="38">
        <f ca="1">'Cost Input'!$E60*'Battery Design'!M164+'Cost Input'!$E61</f>
        <v>182.59381320310638</v>
      </c>
      <c r="N104" s="38">
        <f ca="1">'Cost Input'!$E60*'Battery Design'!N164+'Cost Input'!$E61</f>
        <v>181.27658528526121</v>
      </c>
      <c r="O104" s="38">
        <f ca="1">'Cost Input'!$E60*'Battery Design'!O164+'Cost Input'!$E61</f>
        <v>180.14676653593045</v>
      </c>
    </row>
    <row r="105" spans="1:16" x14ac:dyDescent="0.2">
      <c r="A105" s="252" t="s">
        <v>496</v>
      </c>
      <c r="B105" s="7"/>
      <c r="C105" s="7"/>
      <c r="F105" s="38">
        <f t="shared" ref="F105:K105" ca="1" si="75">SUM(F98:F104)</f>
        <v>304.65175893105419</v>
      </c>
      <c r="G105" s="38">
        <f t="shared" ca="1" si="75"/>
        <v>273.39842311054599</v>
      </c>
      <c r="H105" s="38">
        <f t="shared" ca="1" si="75"/>
        <v>255.55013057350783</v>
      </c>
      <c r="I105" s="38">
        <f t="shared" ca="1" si="75"/>
        <v>245.68705581579246</v>
      </c>
      <c r="J105" s="38">
        <f t="shared" ca="1" si="75"/>
        <v>240.07348614525762</v>
      </c>
      <c r="K105" s="38">
        <f t="shared" ca="1" si="75"/>
        <v>237.51840844376517</v>
      </c>
      <c r="L105" s="38">
        <f t="shared" ref="L105:O105" ca="1" si="76">SUM(L98:L104)</f>
        <v>233.30613937972052</v>
      </c>
      <c r="M105" s="38">
        <f t="shared" ca="1" si="76"/>
        <v>229.50189760353391</v>
      </c>
      <c r="N105" s="38">
        <f t="shared" ca="1" si="76"/>
        <v>227.81498224766011</v>
      </c>
      <c r="O105" s="38">
        <f t="shared" ca="1" si="76"/>
        <v>226.36941726084422</v>
      </c>
    </row>
    <row r="106" spans="1:16" x14ac:dyDescent="0.2">
      <c r="A106" s="252" t="s">
        <v>482</v>
      </c>
      <c r="B106" s="7"/>
      <c r="C106" s="7"/>
      <c r="F106" s="38">
        <f ca="1">F88*'Battery Design'!F66+F96*'Battery Design'!F62+F105</f>
        <v>8679.8443870135616</v>
      </c>
      <c r="G106" s="38">
        <f ca="1">G88*'Battery Design'!G66+G96*'Battery Design'!G62+G105</f>
        <v>6662.0247230473415</v>
      </c>
      <c r="H106" s="38">
        <f ca="1">H88*'Battery Design'!H66+H96*'Battery Design'!H62+H105</f>
        <v>5559.2057888122818</v>
      </c>
      <c r="I106" s="38">
        <f ca="1">I88*'Battery Design'!I66+I96*'Battery Design'!I62+I105</f>
        <v>4943.0027533523644</v>
      </c>
      <c r="J106" s="38">
        <f ca="1">J88*'Battery Design'!J66+J96*'Battery Design'!J62+J105</f>
        <v>4626.263841621525</v>
      </c>
      <c r="K106" s="38">
        <f ca="1">K88*'Battery Design'!K66+K96*'Battery Design'!K62+K105</f>
        <v>4448.9084369672373</v>
      </c>
      <c r="L106" s="38">
        <f ca="1">L88*'Battery Design'!L66+L96*'Battery Design'!L62+L105</f>
        <v>4378.9165551560436</v>
      </c>
      <c r="M106" s="38">
        <f ca="1">M88*'Battery Design'!M66+M96*'Battery Design'!M62+M105</f>
        <v>4300.0606295777197</v>
      </c>
      <c r="N106" s="38">
        <f ca="1">N88*'Battery Design'!N66+N96*'Battery Design'!N62+N105</f>
        <v>4248.2136887213674</v>
      </c>
      <c r="O106" s="38">
        <f ca="1">O88*'Battery Design'!O66+O96*'Battery Design'!O62+O105</f>
        <v>4203.8959092945961</v>
      </c>
    </row>
    <row r="107" spans="1:16" ht="15" x14ac:dyDescent="0.25">
      <c r="A107" s="258" t="s">
        <v>424</v>
      </c>
      <c r="B107" s="7"/>
      <c r="C107" s="7"/>
      <c r="F107" s="38"/>
      <c r="G107" s="38"/>
      <c r="H107" s="38"/>
      <c r="I107" s="38"/>
      <c r="J107" s="38"/>
      <c r="K107" s="38"/>
      <c r="L107" s="38"/>
      <c r="M107" s="38"/>
      <c r="N107" s="38"/>
      <c r="O107" s="38"/>
    </row>
    <row r="108" spans="1:16" x14ac:dyDescent="0.2">
      <c r="A108" t="s">
        <v>412</v>
      </c>
      <c r="B108" s="7"/>
      <c r="C108" s="7"/>
      <c r="F108" s="38">
        <f>IF('Battery Design'!F54="microHEV",'Cost Input'!$H56,IF('Battery Design'!F54="HEV-HP",'Cost Input'!$I56,'Cost Input'!$J56))</f>
        <v>100</v>
      </c>
      <c r="G108" s="38">
        <f>IF('Battery Design'!G54="microHEV",'Cost Input'!$H56,IF('Battery Design'!G54="HEV-HP",'Cost Input'!$I56,'Cost Input'!$J56))</f>
        <v>100</v>
      </c>
      <c r="H108" s="38">
        <f>IF('Battery Design'!H54="microHEV",'Cost Input'!$H56,IF('Battery Design'!H54="HEV-HP",'Cost Input'!$I56,'Cost Input'!$J56))</f>
        <v>100</v>
      </c>
      <c r="I108" s="38">
        <f>IF('Battery Design'!I54="microHEV",'Cost Input'!$H56,IF('Battery Design'!I54="HEV-HP",'Cost Input'!$I56,'Cost Input'!$J56))</f>
        <v>100</v>
      </c>
      <c r="J108" s="38">
        <f>IF('Battery Design'!J54="microHEV",'Cost Input'!$H56,IF('Battery Design'!J54="HEV-HP",'Cost Input'!$I56,'Cost Input'!$J56))</f>
        <v>100</v>
      </c>
      <c r="K108" s="38">
        <f>IF('Battery Design'!K54="microHEV",'Cost Input'!$H56,IF('Battery Design'!K54="HEV-HP",'Cost Input'!$I56,'Cost Input'!$J56))</f>
        <v>100</v>
      </c>
      <c r="L108" s="38">
        <f>IF('Battery Design'!L54="microHEV",'Cost Input'!$H56,IF('Battery Design'!L54="HEV-HP",'Cost Input'!$I56,'Cost Input'!$J56))</f>
        <v>100</v>
      </c>
      <c r="M108" s="38">
        <f>IF('Battery Design'!M54="microHEV",'Cost Input'!$H56,IF('Battery Design'!M54="HEV-HP",'Cost Input'!$I56,'Cost Input'!$J56))</f>
        <v>100</v>
      </c>
      <c r="N108" s="38">
        <f>IF('Battery Design'!N54="microHEV",'Cost Input'!$H56,IF('Battery Design'!N54="HEV-HP",'Cost Input'!$I56,'Cost Input'!$J56))</f>
        <v>100</v>
      </c>
      <c r="O108" s="38">
        <f>IF('Battery Design'!O54="microHEV",'Cost Input'!$H56,IF('Battery Design'!O54="HEV-HP",'Cost Input'!$I56,'Cost Input'!$J56))</f>
        <v>100</v>
      </c>
    </row>
    <row r="109" spans="1:16" x14ac:dyDescent="0.2">
      <c r="A109" t="s">
        <v>413</v>
      </c>
      <c r="B109" s="7"/>
      <c r="C109" s="7"/>
      <c r="F109" s="38">
        <f>'Battery Design'!F62*'Battery Design'!F64*IF('Battery Design'!F54="microHEV",'Cost Input'!$H57,IF('Battery Design'!F54="HEV-HP",'Cost Input'!$I57,'Cost Input'!$J57))</f>
        <v>160</v>
      </c>
      <c r="G109" s="38">
        <f>'Battery Design'!G62*'Battery Design'!G64*IF('Battery Design'!G54="microHEV",'Cost Input'!$H57,IF('Battery Design'!G54="HEV-HP",'Cost Input'!$I57,'Cost Input'!$J57))</f>
        <v>160</v>
      </c>
      <c r="H109" s="38">
        <f>'Battery Design'!H62*'Battery Design'!H64*IF('Battery Design'!H54="microHEV",'Cost Input'!$H57,IF('Battery Design'!H54="HEV-HP",'Cost Input'!$I57,'Cost Input'!$J57))</f>
        <v>160</v>
      </c>
      <c r="I109" s="38">
        <f>'Battery Design'!I62*'Battery Design'!I64*IF('Battery Design'!I54="microHEV",'Cost Input'!$H57,IF('Battery Design'!I54="HEV-HP",'Cost Input'!$I57,'Cost Input'!$J57))</f>
        <v>160</v>
      </c>
      <c r="J109" s="38">
        <f>'Battery Design'!J62*'Battery Design'!J64*IF('Battery Design'!J54="microHEV",'Cost Input'!$H57,IF('Battery Design'!J54="HEV-HP",'Cost Input'!$I57,'Cost Input'!$J57))</f>
        <v>160</v>
      </c>
      <c r="K109" s="38">
        <f>'Battery Design'!K62*'Battery Design'!K64*IF('Battery Design'!K54="microHEV",'Cost Input'!$H57,IF('Battery Design'!K54="HEV-HP",'Cost Input'!$I57,'Cost Input'!$J57))</f>
        <v>160</v>
      </c>
      <c r="L109" s="38">
        <f>'Battery Design'!L62*'Battery Design'!L64*IF('Battery Design'!L54="microHEV",'Cost Input'!$H57,IF('Battery Design'!L54="HEV-HP",'Cost Input'!$I57,'Cost Input'!$J57))</f>
        <v>160</v>
      </c>
      <c r="M109" s="38">
        <f>'Battery Design'!M62*'Battery Design'!M64*IF('Battery Design'!M54="microHEV",'Cost Input'!$H57,IF('Battery Design'!M54="HEV-HP",'Cost Input'!$I57,'Cost Input'!$J57))</f>
        <v>160</v>
      </c>
      <c r="N109" s="38">
        <f>'Battery Design'!N62*'Battery Design'!N64*IF('Battery Design'!N54="microHEV",'Cost Input'!$H57,IF('Battery Design'!N54="HEV-HP",'Cost Input'!$I57,'Cost Input'!$J57))</f>
        <v>160</v>
      </c>
      <c r="O109" s="38">
        <f>'Battery Design'!O62*'Battery Design'!O64*IF('Battery Design'!O54="microHEV",'Cost Input'!$H57,IF('Battery Design'!O54="HEV-HP",'Cost Input'!$I57,'Cost Input'!$J57))</f>
        <v>160</v>
      </c>
      <c r="P109" s="427"/>
    </row>
    <row r="110" spans="1:16" x14ac:dyDescent="0.2">
      <c r="A110" t="s">
        <v>414</v>
      </c>
      <c r="B110" s="7"/>
      <c r="C110" s="7"/>
      <c r="F110" s="38">
        <f>IF('Battery Design'!F54="microHEV",'Cost Input'!$H58,IF('Battery Design'!F54="HEV-HP",'Cost Input'!$I58,'Cost Input'!$J58))</f>
        <v>200</v>
      </c>
      <c r="G110" s="38">
        <f>IF('Battery Design'!G54="microHEV",'Cost Input'!$H58,IF('Battery Design'!G54="HEV-HP",'Cost Input'!$I58,'Cost Input'!$J58))</f>
        <v>200</v>
      </c>
      <c r="H110" s="38">
        <f>IF('Battery Design'!H54="microHEV",'Cost Input'!$H58,IF('Battery Design'!H54="HEV-HP",'Cost Input'!$I58,'Cost Input'!$J58))</f>
        <v>200</v>
      </c>
      <c r="I110" s="38">
        <f>IF('Battery Design'!I54="microHEV",'Cost Input'!$H58,IF('Battery Design'!I54="HEV-HP",'Cost Input'!$I58,'Cost Input'!$J58))</f>
        <v>200</v>
      </c>
      <c r="J110" s="38">
        <f>IF('Battery Design'!J54="microHEV",'Cost Input'!$H58,IF('Battery Design'!J54="HEV-HP",'Cost Input'!$I58,'Cost Input'!$J58))</f>
        <v>200</v>
      </c>
      <c r="K110" s="38">
        <f>IF('Battery Design'!K54="microHEV",'Cost Input'!$H58,IF('Battery Design'!K54="HEV-HP",'Cost Input'!$I58,'Cost Input'!$J58))</f>
        <v>200</v>
      </c>
      <c r="L110" s="38">
        <f>IF('Battery Design'!L54="microHEV",'Cost Input'!$H58,IF('Battery Design'!L54="HEV-HP",'Cost Input'!$I58,'Cost Input'!$J58))</f>
        <v>200</v>
      </c>
      <c r="M110" s="38">
        <f>IF('Battery Design'!M54="microHEV",'Cost Input'!$H58,IF('Battery Design'!M54="HEV-HP",'Cost Input'!$I58,'Cost Input'!$J58))</f>
        <v>200</v>
      </c>
      <c r="N110" s="38">
        <f>IF('Battery Design'!N54="microHEV",'Cost Input'!$H58,IF('Battery Design'!N54="HEV-HP",'Cost Input'!$I58,'Cost Input'!$J58))</f>
        <v>200</v>
      </c>
      <c r="O110" s="38">
        <f>IF('Battery Design'!O54="microHEV",'Cost Input'!$H58,IF('Battery Design'!O54="HEV-HP",'Cost Input'!$I58,'Cost Input'!$J58))</f>
        <v>200</v>
      </c>
    </row>
    <row r="111" spans="1:16" x14ac:dyDescent="0.2">
      <c r="A111" t="s">
        <v>410</v>
      </c>
      <c r="B111" s="7"/>
      <c r="C111" s="7"/>
      <c r="F111" s="274">
        <f>IF('Battery Design'!F54="microHEV",'Cost Input'!$H59,IF('Battery Design'!F54="HEV-HP",'Cost Input'!$I59,'Cost Input'!$J59)*'Battery Design'!F64)</f>
        <v>15</v>
      </c>
      <c r="G111" s="274">
        <f>IF('Battery Design'!G54="microHEV",'Cost Input'!$H59,IF('Battery Design'!G54="HEV-HP",'Cost Input'!$I59,'Cost Input'!$J59)*'Battery Design'!G64)</f>
        <v>15</v>
      </c>
      <c r="H111" s="274">
        <f>IF('Battery Design'!H54="microHEV",'Cost Input'!$H59,IF('Battery Design'!H54="HEV-HP",'Cost Input'!$I59,'Cost Input'!$J59)*'Battery Design'!H64)</f>
        <v>15</v>
      </c>
      <c r="I111" s="274">
        <f>IF('Battery Design'!I54="microHEV",'Cost Input'!$H59,IF('Battery Design'!I54="HEV-HP",'Cost Input'!$I59,'Cost Input'!$J59)*'Battery Design'!I64)</f>
        <v>15</v>
      </c>
      <c r="J111" s="274">
        <f>IF('Battery Design'!J54="microHEV",'Cost Input'!$H59,IF('Battery Design'!J54="HEV-HP",'Cost Input'!$I59,'Cost Input'!$J59)*'Battery Design'!J64)</f>
        <v>15</v>
      </c>
      <c r="K111" s="274">
        <f>IF('Battery Design'!K54="microHEV",'Cost Input'!$H59,IF('Battery Design'!K54="HEV-HP",'Cost Input'!$I59,'Cost Input'!$J59)*'Battery Design'!K64)</f>
        <v>15</v>
      </c>
      <c r="L111" s="274">
        <f>IF('Battery Design'!L54="microHEV",'Cost Input'!$H59,IF('Battery Design'!L54="HEV-HP",'Cost Input'!$I59,'Cost Input'!$J59)*'Battery Design'!L64)</f>
        <v>15</v>
      </c>
      <c r="M111" s="274">
        <f>IF('Battery Design'!M54="microHEV",'Cost Input'!$H59,IF('Battery Design'!M54="HEV-HP",'Cost Input'!$I59,'Cost Input'!$J59)*'Battery Design'!M64)</f>
        <v>15</v>
      </c>
      <c r="N111" s="274">
        <f>IF('Battery Design'!N54="microHEV",'Cost Input'!$H59,IF('Battery Design'!N54="HEV-HP",'Cost Input'!$I59,'Cost Input'!$J59)*'Battery Design'!N64)</f>
        <v>15</v>
      </c>
      <c r="O111" s="274">
        <f>IF('Battery Design'!O54="microHEV",'Cost Input'!$H59,IF('Battery Design'!O54="HEV-HP",'Cost Input'!$I59,'Cost Input'!$J59)*'Battery Design'!O64)</f>
        <v>15</v>
      </c>
    </row>
    <row r="112" spans="1:16" x14ac:dyDescent="0.2">
      <c r="A112" t="s">
        <v>549</v>
      </c>
      <c r="B112" s="7"/>
      <c r="C112" s="7"/>
      <c r="F112" s="219">
        <f>'Cost Input'!$J60*('Battery Design'!F63*'Battery Design'!F64-1)</f>
        <v>0</v>
      </c>
      <c r="G112" s="219">
        <f>'Cost Input'!$J60*('Battery Design'!G63*'Battery Design'!G64-1)</f>
        <v>0</v>
      </c>
      <c r="H112" s="219">
        <f>'Cost Input'!$J60*('Battery Design'!H63*'Battery Design'!H64-1)</f>
        <v>0</v>
      </c>
      <c r="I112" s="219">
        <f>'Cost Input'!$J60*('Battery Design'!I63*'Battery Design'!I64-1)</f>
        <v>0</v>
      </c>
      <c r="J112" s="219">
        <f>'Cost Input'!$J60*('Battery Design'!J63*'Battery Design'!J64-1)</f>
        <v>0</v>
      </c>
      <c r="K112" s="219">
        <f>'Cost Input'!$J60*('Battery Design'!K63*'Battery Design'!K64-1)</f>
        <v>0</v>
      </c>
      <c r="L112" s="219">
        <f>'Cost Input'!$J60*('Battery Design'!L63*'Battery Design'!L64-1)</f>
        <v>0</v>
      </c>
      <c r="M112" s="219">
        <f>'Cost Input'!$J60*('Battery Design'!M63*'Battery Design'!M64-1)</f>
        <v>0</v>
      </c>
      <c r="N112" s="219">
        <f>'Cost Input'!$J60*('Battery Design'!N63*'Battery Design'!N64-1)</f>
        <v>0</v>
      </c>
      <c r="O112" s="219">
        <f>'Cost Input'!$J60*('Battery Design'!O63*'Battery Design'!O64-1)</f>
        <v>0</v>
      </c>
    </row>
    <row r="113" spans="1:16" x14ac:dyDescent="0.2">
      <c r="A113" s="7" t="s">
        <v>415</v>
      </c>
      <c r="B113" s="7"/>
      <c r="C113" s="7"/>
      <c r="F113" s="38">
        <f t="shared" ref="F113:K113" si="77">SUM(F108:F112)</f>
        <v>475</v>
      </c>
      <c r="G113" s="38">
        <f t="shared" si="77"/>
        <v>475</v>
      </c>
      <c r="H113" s="38">
        <f t="shared" si="77"/>
        <v>475</v>
      </c>
      <c r="I113" s="38">
        <f t="shared" si="77"/>
        <v>475</v>
      </c>
      <c r="J113" s="38">
        <f t="shared" si="77"/>
        <v>475</v>
      </c>
      <c r="K113" s="38">
        <f t="shared" si="77"/>
        <v>475</v>
      </c>
      <c r="L113" s="38">
        <f t="shared" ref="L113:O113" si="78">SUM(L108:L112)</f>
        <v>475</v>
      </c>
      <c r="M113" s="38">
        <f t="shared" si="78"/>
        <v>475</v>
      </c>
      <c r="N113" s="38">
        <f t="shared" si="78"/>
        <v>475</v>
      </c>
      <c r="O113" s="38">
        <f t="shared" si="78"/>
        <v>475</v>
      </c>
    </row>
    <row r="114" spans="1:16" ht="15" x14ac:dyDescent="0.25">
      <c r="A114" s="258" t="s">
        <v>800</v>
      </c>
      <c r="B114" s="7"/>
      <c r="C114" s="7"/>
      <c r="F114" s="38"/>
      <c r="G114" s="38"/>
      <c r="H114" s="38"/>
      <c r="I114" s="38"/>
      <c r="J114" s="38"/>
      <c r="K114" s="38"/>
      <c r="L114" s="38"/>
      <c r="M114" s="38"/>
      <c r="N114" s="38"/>
      <c r="O114" s="38"/>
    </row>
    <row r="115" spans="1:16" x14ac:dyDescent="0.2">
      <c r="A115" s="365" t="s">
        <v>881</v>
      </c>
      <c r="B115" s="7"/>
      <c r="C115" s="7"/>
      <c r="F115" s="38">
        <f>Components!$D$10</f>
        <v>1445</v>
      </c>
      <c r="G115" s="38">
        <f>Components!$D$10</f>
        <v>1445</v>
      </c>
      <c r="H115" s="38">
        <f>Components!$D$10</f>
        <v>1445</v>
      </c>
      <c r="I115" s="38">
        <f>Components!$D$10</f>
        <v>1445</v>
      </c>
      <c r="J115" s="38">
        <f>Components!$D$10</f>
        <v>1445</v>
      </c>
      <c r="K115" s="38">
        <f>Components!$D$10</f>
        <v>1445</v>
      </c>
      <c r="L115" s="38">
        <f>Components!$D$10</f>
        <v>1445</v>
      </c>
      <c r="M115" s="38">
        <f>Components!$D$10</f>
        <v>1445</v>
      </c>
      <c r="N115" s="38">
        <f>Components!$D$10</f>
        <v>1445</v>
      </c>
      <c r="O115" s="38">
        <f>Components!$D$10</f>
        <v>1445</v>
      </c>
      <c r="P115" s="427"/>
    </row>
    <row r="116" spans="1:16" x14ac:dyDescent="0.2">
      <c r="A116" s="252" t="s">
        <v>709</v>
      </c>
      <c r="B116" s="7"/>
      <c r="C116" s="7"/>
      <c r="F116" s="38">
        <f t="shared" ref="F116:O116" si="79">SUM(F115:F115)</f>
        <v>1445</v>
      </c>
      <c r="G116" s="38">
        <f t="shared" si="79"/>
        <v>1445</v>
      </c>
      <c r="H116" s="38">
        <f t="shared" si="79"/>
        <v>1445</v>
      </c>
      <c r="I116" s="38">
        <f t="shared" si="79"/>
        <v>1445</v>
      </c>
      <c r="J116" s="38">
        <f t="shared" si="79"/>
        <v>1445</v>
      </c>
      <c r="K116" s="38">
        <f t="shared" si="79"/>
        <v>1445</v>
      </c>
      <c r="L116" s="38">
        <f t="shared" si="79"/>
        <v>1445</v>
      </c>
      <c r="M116" s="38">
        <f t="shared" si="79"/>
        <v>1445</v>
      </c>
      <c r="N116" s="38">
        <f t="shared" si="79"/>
        <v>1445</v>
      </c>
      <c r="O116" s="38">
        <f t="shared" si="79"/>
        <v>1445</v>
      </c>
    </row>
    <row r="117" spans="1:16" ht="15.75" x14ac:dyDescent="0.25">
      <c r="A117" s="18"/>
      <c r="B117" s="7"/>
      <c r="C117" s="7"/>
      <c r="F117" s="38"/>
      <c r="G117" s="38"/>
      <c r="H117" s="38"/>
      <c r="I117" s="38"/>
      <c r="J117" s="38"/>
      <c r="K117" s="38"/>
      <c r="L117" s="38"/>
      <c r="M117" s="38"/>
      <c r="N117" s="38"/>
      <c r="O117" s="38"/>
    </row>
    <row r="118" spans="1:16" x14ac:dyDescent="0.2">
      <c r="B118" s="7"/>
      <c r="C118" s="7"/>
      <c r="F118" s="38"/>
      <c r="G118" s="38"/>
      <c r="H118" s="38"/>
      <c r="I118" s="38"/>
      <c r="J118" s="38"/>
      <c r="K118" s="38"/>
      <c r="L118" s="38"/>
      <c r="M118" s="38"/>
      <c r="N118" s="38"/>
      <c r="O118" s="38"/>
    </row>
    <row r="119" spans="1:16" x14ac:dyDescent="0.2">
      <c r="A119" s="10"/>
      <c r="B119" s="7"/>
      <c r="C119" s="7"/>
      <c r="F119" s="38"/>
      <c r="G119" s="38"/>
      <c r="H119" s="38"/>
      <c r="I119" s="38"/>
      <c r="J119" s="38"/>
      <c r="K119" s="38"/>
      <c r="L119" s="38"/>
      <c r="M119" s="38"/>
      <c r="N119" s="38"/>
      <c r="O119" s="38"/>
      <c r="P119" s="427"/>
    </row>
    <row r="120" spans="1:16" x14ac:dyDescent="0.2">
      <c r="B120" s="7"/>
      <c r="C120" s="7"/>
      <c r="F120" s="38"/>
      <c r="G120" s="38"/>
      <c r="H120" s="38"/>
      <c r="I120" s="38"/>
      <c r="J120" s="38"/>
      <c r="K120" s="38"/>
      <c r="L120" s="38"/>
      <c r="M120" s="38"/>
      <c r="N120" s="38"/>
      <c r="O120" s="38"/>
      <c r="P120" s="38"/>
    </row>
    <row r="121" spans="1:16" x14ac:dyDescent="0.2">
      <c r="B121" s="7"/>
      <c r="C121" s="7"/>
      <c r="F121" s="38"/>
      <c r="G121" s="38"/>
      <c r="H121" s="38"/>
      <c r="I121" s="38"/>
      <c r="J121" s="38"/>
      <c r="K121" s="38"/>
      <c r="L121" s="38"/>
      <c r="M121" s="38"/>
      <c r="N121" s="38"/>
      <c r="O121" s="38"/>
    </row>
    <row r="122" spans="1:16" x14ac:dyDescent="0.2">
      <c r="A122" s="7"/>
      <c r="B122" s="7"/>
      <c r="C122" s="7"/>
      <c r="F122" s="38"/>
      <c r="G122" s="38"/>
      <c r="H122" s="38"/>
      <c r="I122" s="38"/>
      <c r="J122" s="38"/>
      <c r="K122" s="38"/>
      <c r="L122" s="38"/>
      <c r="M122" s="38"/>
      <c r="N122" s="38"/>
      <c r="O122" s="38"/>
    </row>
    <row r="123" spans="1:16" x14ac:dyDescent="0.2">
      <c r="A123" s="7"/>
      <c r="B123" s="7"/>
      <c r="C123" s="7"/>
      <c r="F123" s="38"/>
      <c r="G123" s="38"/>
      <c r="H123" s="38"/>
      <c r="I123" s="38"/>
      <c r="J123" s="38"/>
      <c r="K123" s="38"/>
      <c r="L123" s="38"/>
      <c r="M123" s="38"/>
      <c r="N123" s="38"/>
      <c r="O123" s="38"/>
    </row>
    <row r="124" spans="1:16" ht="15.75" x14ac:dyDescent="0.25">
      <c r="A124" s="18" t="s">
        <v>46</v>
      </c>
      <c r="B124" s="18"/>
      <c r="C124" s="18"/>
      <c r="F124" s="78"/>
      <c r="G124" s="78"/>
      <c r="H124" s="78"/>
      <c r="I124" s="78"/>
      <c r="J124" s="78"/>
      <c r="K124" s="78"/>
      <c r="L124" s="78"/>
      <c r="M124" s="78"/>
      <c r="N124" s="78"/>
      <c r="O124" s="78"/>
    </row>
    <row r="125" spans="1:16" ht="15" x14ac:dyDescent="0.25">
      <c r="A125" s="10"/>
      <c r="B125" s="10"/>
      <c r="C125" s="10"/>
      <c r="D125" s="333" t="s">
        <v>25</v>
      </c>
      <c r="E125" s="68"/>
      <c r="F125" s="8"/>
      <c r="G125" s="276"/>
      <c r="H125" s="276"/>
      <c r="I125" s="276"/>
      <c r="J125" s="276"/>
      <c r="K125" s="302"/>
      <c r="L125" s="305"/>
      <c r="M125" s="362"/>
      <c r="N125" s="362"/>
      <c r="O125" s="362"/>
    </row>
    <row r="126" spans="1:16" ht="15" x14ac:dyDescent="0.25">
      <c r="A126" s="332" t="s">
        <v>227</v>
      </c>
      <c r="B126" s="56"/>
      <c r="C126" s="56"/>
      <c r="D126" s="334" t="s">
        <v>48</v>
      </c>
      <c r="E126" s="335" t="s">
        <v>27</v>
      </c>
      <c r="F126" s="63"/>
      <c r="G126" s="275"/>
      <c r="H126" s="275"/>
      <c r="I126" s="275"/>
      <c r="J126" s="275"/>
      <c r="K126" s="301"/>
      <c r="L126" s="304"/>
      <c r="M126" s="361"/>
      <c r="N126" s="361"/>
      <c r="O126" s="361"/>
    </row>
    <row r="127" spans="1:16" x14ac:dyDescent="0.2">
      <c r="A127" s="5" t="s">
        <v>212</v>
      </c>
      <c r="B127" s="5"/>
      <c r="C127" s="5"/>
      <c r="E127" s="71"/>
    </row>
    <row r="128" spans="1:16" x14ac:dyDescent="0.2">
      <c r="A128" s="7" t="s">
        <v>228</v>
      </c>
      <c r="B128" s="7"/>
      <c r="C128" s="7"/>
      <c r="D128" s="14"/>
      <c r="E128" s="71"/>
      <c r="F128" s="121">
        <f>F6/'Cost Input'!$J19</f>
        <v>14.722519510499822</v>
      </c>
      <c r="G128" s="121">
        <f>G6/'Cost Input'!$J19</f>
        <v>14.722519510499822</v>
      </c>
      <c r="H128" s="121">
        <f>H6/'Cost Input'!$J19</f>
        <v>14.722519510499822</v>
      </c>
      <c r="I128" s="121">
        <f>I6/'Cost Input'!$J19</f>
        <v>14.722519510499822</v>
      </c>
      <c r="J128" s="121">
        <f>J6/'Cost Input'!$J19</f>
        <v>14.722519510499822</v>
      </c>
      <c r="K128" s="121">
        <f>K6/'Cost Input'!$J19</f>
        <v>14.722519510499822</v>
      </c>
      <c r="L128" s="121">
        <f>L6/'Cost Input'!$J19</f>
        <v>14.722519510499822</v>
      </c>
      <c r="M128" s="121">
        <f>M6/'Cost Input'!$J19</f>
        <v>14.607499826824043</v>
      </c>
      <c r="N128" s="121">
        <f>N6/'Cost Input'!$J19</f>
        <v>14.607499826824043</v>
      </c>
      <c r="O128" s="121">
        <f>O6/'Cost Input'!$J19</f>
        <v>14.607499826824043</v>
      </c>
    </row>
    <row r="129" spans="1:17" x14ac:dyDescent="0.2">
      <c r="A129" s="7" t="s">
        <v>51</v>
      </c>
      <c r="B129" s="7"/>
      <c r="C129" s="7"/>
      <c r="D129" s="73">
        <f>'Cost Input'!D74</f>
        <v>14400</v>
      </c>
      <c r="E129" s="126">
        <f>'Cost Input'!E74</f>
        <v>0.4</v>
      </c>
      <c r="F129" s="71">
        <f t="shared" ref="F129:O131" si="80">$D129*F$128^$E129</f>
        <v>42223.608637770369</v>
      </c>
      <c r="G129" s="71">
        <f t="shared" si="80"/>
        <v>42223.608637770369</v>
      </c>
      <c r="H129" s="71">
        <f t="shared" si="80"/>
        <v>42223.608637770369</v>
      </c>
      <c r="I129" s="71">
        <f t="shared" si="80"/>
        <v>42223.608637770369</v>
      </c>
      <c r="J129" s="71">
        <f t="shared" si="80"/>
        <v>42223.608637770369</v>
      </c>
      <c r="K129" s="71">
        <f t="shared" si="80"/>
        <v>42223.608637770369</v>
      </c>
      <c r="L129" s="71">
        <f t="shared" si="80"/>
        <v>42223.608637770369</v>
      </c>
      <c r="M129" s="71">
        <f t="shared" si="80"/>
        <v>42091.349310688478</v>
      </c>
      <c r="N129" s="71">
        <f t="shared" si="80"/>
        <v>42091.349310688478</v>
      </c>
      <c r="O129" s="71">
        <f t="shared" si="80"/>
        <v>42091.349310688478</v>
      </c>
    </row>
    <row r="130" spans="1:17" x14ac:dyDescent="0.2">
      <c r="A130" s="7" t="s">
        <v>53</v>
      </c>
      <c r="B130" s="7"/>
      <c r="C130" s="7"/>
      <c r="D130" s="74">
        <f>'Cost Input'!D75</f>
        <v>3.6</v>
      </c>
      <c r="E130" s="126">
        <f>'Cost Input'!E75</f>
        <v>0.6</v>
      </c>
      <c r="F130" s="85">
        <f t="shared" si="80"/>
        <v>18.075560949131908</v>
      </c>
      <c r="G130" s="85">
        <f t="shared" si="80"/>
        <v>18.075560949131908</v>
      </c>
      <c r="H130" s="85">
        <f t="shared" si="80"/>
        <v>18.075560949131908</v>
      </c>
      <c r="I130" s="85">
        <f t="shared" si="80"/>
        <v>18.075560949131908</v>
      </c>
      <c r="J130" s="85">
        <f t="shared" si="80"/>
        <v>18.075560949131908</v>
      </c>
      <c r="K130" s="85">
        <f t="shared" si="80"/>
        <v>18.075560949131908</v>
      </c>
      <c r="L130" s="85">
        <f t="shared" si="80"/>
        <v>18.075560949131908</v>
      </c>
      <c r="M130" s="85">
        <f t="shared" si="80"/>
        <v>17.990698882876281</v>
      </c>
      <c r="N130" s="85">
        <f t="shared" si="80"/>
        <v>17.990698882876281</v>
      </c>
      <c r="O130" s="85">
        <f t="shared" si="80"/>
        <v>17.990698882876281</v>
      </c>
    </row>
    <row r="131" spans="1:17" x14ac:dyDescent="0.2">
      <c r="A131" s="7" t="s">
        <v>54</v>
      </c>
      <c r="B131" s="7"/>
      <c r="C131" s="7"/>
      <c r="D131" s="73">
        <f>'Cost Input'!D76</f>
        <v>900</v>
      </c>
      <c r="E131" s="126">
        <f>'Cost Input'!E76</f>
        <v>0.5</v>
      </c>
      <c r="F131" s="71">
        <f t="shared" si="80"/>
        <v>3453.2941959098789</v>
      </c>
      <c r="G131" s="71">
        <f t="shared" si="80"/>
        <v>3453.2941959098789</v>
      </c>
      <c r="H131" s="71">
        <f t="shared" si="80"/>
        <v>3453.2941959098789</v>
      </c>
      <c r="I131" s="71">
        <f t="shared" si="80"/>
        <v>3453.2941959098789</v>
      </c>
      <c r="J131" s="71">
        <f t="shared" si="80"/>
        <v>3453.2941959098789</v>
      </c>
      <c r="K131" s="71">
        <f t="shared" si="80"/>
        <v>3453.2941959098789</v>
      </c>
      <c r="L131" s="71">
        <f t="shared" si="80"/>
        <v>3453.2941959098789</v>
      </c>
      <c r="M131" s="71">
        <f t="shared" si="80"/>
        <v>3439.7783154917811</v>
      </c>
      <c r="N131" s="71">
        <f t="shared" si="80"/>
        <v>3439.7783154917811</v>
      </c>
      <c r="O131" s="71">
        <f t="shared" si="80"/>
        <v>3439.7783154917811</v>
      </c>
    </row>
    <row r="132" spans="1:17" x14ac:dyDescent="0.2">
      <c r="A132" s="5" t="s">
        <v>55</v>
      </c>
      <c r="B132" s="5"/>
      <c r="C132" s="5"/>
      <c r="D132" s="73"/>
      <c r="E132" s="126"/>
      <c r="F132" s="66"/>
      <c r="G132" s="66"/>
      <c r="H132" s="66"/>
      <c r="I132" s="66"/>
      <c r="J132" s="66"/>
      <c r="K132" s="66"/>
      <c r="L132" s="66"/>
      <c r="M132" s="66"/>
      <c r="N132" s="66"/>
      <c r="O132" s="66"/>
    </row>
    <row r="133" spans="1:17" x14ac:dyDescent="0.2">
      <c r="A133" s="7" t="s">
        <v>56</v>
      </c>
      <c r="B133" s="7"/>
      <c r="C133" s="7"/>
      <c r="D133" s="73"/>
      <c r="E133" s="126"/>
      <c r="F133" s="66"/>
      <c r="G133" s="66"/>
      <c r="H133" s="66"/>
      <c r="I133" s="66"/>
      <c r="J133" s="66"/>
      <c r="K133" s="66"/>
      <c r="L133" s="66"/>
      <c r="M133" s="66"/>
      <c r="N133" s="66"/>
      <c r="O133" s="66"/>
    </row>
    <row r="134" spans="1:17" x14ac:dyDescent="0.2">
      <c r="A134" s="7" t="s">
        <v>229</v>
      </c>
      <c r="B134" s="7"/>
      <c r="C134" s="7"/>
      <c r="D134" s="73"/>
      <c r="E134" s="126"/>
      <c r="F134" s="66"/>
      <c r="G134" s="66"/>
      <c r="H134" s="66"/>
      <c r="I134" s="66"/>
      <c r="J134" s="66"/>
      <c r="K134" s="66"/>
      <c r="L134" s="66"/>
      <c r="M134" s="66"/>
      <c r="N134" s="66"/>
      <c r="O134" s="66"/>
    </row>
    <row r="135" spans="1:17" x14ac:dyDescent="0.2">
      <c r="A135" s="7" t="s">
        <v>228</v>
      </c>
      <c r="B135" s="7"/>
      <c r="C135" s="7"/>
      <c r="D135" s="73"/>
      <c r="E135" s="126"/>
      <c r="F135" s="86">
        <f ca="1">F10/'Cost Input'!$J23</f>
        <v>2.7815866607094528</v>
      </c>
      <c r="G135" s="86">
        <f ca="1">G10/'Cost Input'!$J23</f>
        <v>2.7738712439130428</v>
      </c>
      <c r="H135" s="86">
        <f ca="1">H10/'Cost Input'!$J23</f>
        <v>2.7627920619756456</v>
      </c>
      <c r="I135" s="86">
        <f ca="1">I10/'Cost Input'!$J23</f>
        <v>2.7477808090321143</v>
      </c>
      <c r="J135" s="86">
        <f ca="1">J10/'Cost Input'!$J23</f>
        <v>2.7653647272073378</v>
      </c>
      <c r="K135" s="86">
        <f ca="1">K10/'Cost Input'!$J23</f>
        <v>2.7433555459025873</v>
      </c>
      <c r="L135" s="86">
        <f ca="1">L10/'Cost Input'!$J23</f>
        <v>2.6928043680790048</v>
      </c>
      <c r="M135" s="86">
        <f ca="1">M10/'Cost Input'!$J23</f>
        <v>2.6290274778403075</v>
      </c>
      <c r="N135" s="86">
        <f ca="1">N10/'Cost Input'!$J23</f>
        <v>2.5906080886980591</v>
      </c>
      <c r="O135" s="86">
        <f ca="1">O10/'Cost Input'!$J23</f>
        <v>2.5577851188114815</v>
      </c>
    </row>
    <row r="136" spans="1:17" x14ac:dyDescent="0.2">
      <c r="A136" s="7" t="s">
        <v>51</v>
      </c>
      <c r="B136" s="7"/>
      <c r="C136" s="7"/>
      <c r="D136" s="73">
        <f>'Cost Input'!D81</f>
        <v>14400</v>
      </c>
      <c r="E136" s="126">
        <f>'Cost Input'!E81</f>
        <v>0.5</v>
      </c>
      <c r="F136" s="71">
        <f t="shared" ref="F136:O138" ca="1" si="81">$D136*F$135^$E136</f>
        <v>24016.448737578005</v>
      </c>
      <c r="G136" s="71">
        <f t="shared" ca="1" si="81"/>
        <v>23983.117836048936</v>
      </c>
      <c r="H136" s="71">
        <f t="shared" ca="1" si="81"/>
        <v>23935.174157947335</v>
      </c>
      <c r="I136" s="71">
        <f t="shared" ca="1" si="81"/>
        <v>23870.061343886387</v>
      </c>
      <c r="J136" s="71">
        <f t="shared" ca="1" si="81"/>
        <v>23946.315579514809</v>
      </c>
      <c r="K136" s="71">
        <f t="shared" ca="1" si="81"/>
        <v>23850.832396341233</v>
      </c>
      <c r="L136" s="71">
        <f t="shared" ca="1" si="81"/>
        <v>23630.06376980101</v>
      </c>
      <c r="M136" s="71">
        <f t="shared" ca="1" si="81"/>
        <v>23348.557510153943</v>
      </c>
      <c r="N136" s="71">
        <f t="shared" ca="1" si="81"/>
        <v>23177.327138227771</v>
      </c>
      <c r="O136" s="71">
        <f t="shared" ca="1" si="81"/>
        <v>23030.030877893951</v>
      </c>
    </row>
    <row r="137" spans="1:17" x14ac:dyDescent="0.2">
      <c r="A137" s="7" t="s">
        <v>53</v>
      </c>
      <c r="B137" s="7"/>
      <c r="C137" s="7"/>
      <c r="D137" s="74">
        <f>'Cost Input'!D82</f>
        <v>2</v>
      </c>
      <c r="E137" s="126">
        <f>'Cost Input'!E82</f>
        <v>0.7</v>
      </c>
      <c r="F137" s="85">
        <f t="shared" ca="1" si="81"/>
        <v>4.0929346654258785</v>
      </c>
      <c r="G137" s="85">
        <f t="shared" ca="1" si="81"/>
        <v>4.0849844202378982</v>
      </c>
      <c r="H137" s="85">
        <f t="shared" ca="1" si="81"/>
        <v>4.0735564156148305</v>
      </c>
      <c r="I137" s="85">
        <f t="shared" ca="1" si="81"/>
        <v>4.0580505804847835</v>
      </c>
      <c r="J137" s="85">
        <f t="shared" ca="1" si="81"/>
        <v>4.0762113036616929</v>
      </c>
      <c r="K137" s="85">
        <f t="shared" ca="1" si="81"/>
        <v>4.0534746703849587</v>
      </c>
      <c r="L137" s="85">
        <f t="shared" ca="1" si="81"/>
        <v>4.0010442804919979</v>
      </c>
      <c r="M137" s="85">
        <f t="shared" ca="1" si="81"/>
        <v>3.934473126778872</v>
      </c>
      <c r="N137" s="85">
        <f t="shared" ca="1" si="81"/>
        <v>3.8941367426042386</v>
      </c>
      <c r="O137" s="85">
        <f t="shared" ca="1" si="81"/>
        <v>3.859533679600641</v>
      </c>
    </row>
    <row r="138" spans="1:17" x14ac:dyDescent="0.2">
      <c r="A138" s="7" t="s">
        <v>54</v>
      </c>
      <c r="B138" s="7"/>
      <c r="C138" s="7"/>
      <c r="D138" s="73">
        <f>'Cost Input'!D83</f>
        <v>600</v>
      </c>
      <c r="E138" s="126">
        <f>'Cost Input'!E83</f>
        <v>0.6</v>
      </c>
      <c r="F138" s="71">
        <f t="shared" ca="1" si="81"/>
        <v>1108.4773090734459</v>
      </c>
      <c r="G138" s="71">
        <f t="shared" ca="1" si="81"/>
        <v>1106.6315031944325</v>
      </c>
      <c r="H138" s="71">
        <f t="shared" ca="1" si="81"/>
        <v>1103.9773675780489</v>
      </c>
      <c r="I138" s="71">
        <f t="shared" ca="1" si="81"/>
        <v>1100.3744606539944</v>
      </c>
      <c r="J138" s="71">
        <f t="shared" ca="1" si="81"/>
        <v>1104.5940557862668</v>
      </c>
      <c r="K138" s="71">
        <f t="shared" ca="1" si="81"/>
        <v>1099.3108351722351</v>
      </c>
      <c r="L138" s="71">
        <f t="shared" ca="1" si="81"/>
        <v>1087.1116058955465</v>
      </c>
      <c r="M138" s="71">
        <f t="shared" ca="1" si="81"/>
        <v>1071.5891940988377</v>
      </c>
      <c r="N138" s="71">
        <f t="shared" ca="1" si="81"/>
        <v>1062.1657192049361</v>
      </c>
      <c r="O138" s="71">
        <f t="shared" ca="1" si="81"/>
        <v>1054.0705610600414</v>
      </c>
    </row>
    <row r="139" spans="1:17" x14ac:dyDescent="0.2">
      <c r="A139" s="7" t="s">
        <v>230</v>
      </c>
      <c r="B139" s="7"/>
      <c r="C139" s="7"/>
      <c r="D139" s="73"/>
      <c r="E139" s="126"/>
      <c r="F139" s="66"/>
      <c r="G139" s="66"/>
      <c r="H139" s="66"/>
      <c r="I139" s="66"/>
      <c r="J139" s="66"/>
      <c r="K139" s="66"/>
      <c r="L139" s="66"/>
      <c r="M139" s="66"/>
      <c r="N139" s="66"/>
      <c r="O139" s="66"/>
    </row>
    <row r="140" spans="1:17" x14ac:dyDescent="0.2">
      <c r="A140" s="7" t="s">
        <v>228</v>
      </c>
      <c r="B140" s="7"/>
      <c r="C140" s="7"/>
      <c r="D140" s="73"/>
      <c r="E140" s="126"/>
      <c r="F140" s="86">
        <f ca="1">F11/'Cost Input'!$J24</f>
        <v>1.7924833074069566</v>
      </c>
      <c r="G140" s="86">
        <f ca="1">G11/'Cost Input'!$J24</f>
        <v>1.7875114127640179</v>
      </c>
      <c r="H140" s="86">
        <f ca="1">H11/'Cost Input'!$J24</f>
        <v>1.7803718729599822</v>
      </c>
      <c r="I140" s="86">
        <f ca="1">I11/'Cost Input'!$J24</f>
        <v>1.7706984657983018</v>
      </c>
      <c r="J140" s="86">
        <f ca="1">J11/'Cost Input'!$J24</f>
        <v>1.7820297251306487</v>
      </c>
      <c r="K140" s="86">
        <f ca="1">K11/'Cost Input'!$J24</f>
        <v>1.7678467803187121</v>
      </c>
      <c r="L140" s="86">
        <f ca="1">L11/'Cost Input'!$J24</f>
        <v>1.7352710767828676</v>
      </c>
      <c r="M140" s="86">
        <f ca="1">M11/'Cost Input'!$J24</f>
        <v>1.6941725869295865</v>
      </c>
      <c r="N140" s="86">
        <f ca="1">N11/'Cost Input'!$J24</f>
        <v>1.6694147339059864</v>
      </c>
      <c r="O140" s="86">
        <f ca="1">O11/'Cost Input'!$J24</f>
        <v>1.6482632715222096</v>
      </c>
    </row>
    <row r="141" spans="1:17" x14ac:dyDescent="0.2">
      <c r="A141" s="7" t="s">
        <v>51</v>
      </c>
      <c r="B141" s="7"/>
      <c r="C141" s="7"/>
      <c r="D141" s="73">
        <f>'Cost Input'!D86</f>
        <v>14400</v>
      </c>
      <c r="E141" s="126">
        <f>'Cost Input'!E86</f>
        <v>0.5</v>
      </c>
      <c r="F141" s="71"/>
      <c r="G141" s="71"/>
      <c r="H141" s="71"/>
      <c r="I141" s="71"/>
      <c r="J141" s="71"/>
      <c r="K141" s="71"/>
      <c r="L141" s="71"/>
      <c r="M141" s="71"/>
      <c r="N141" s="71"/>
      <c r="O141" s="71"/>
      <c r="Q141" s="483"/>
    </row>
    <row r="142" spans="1:17" x14ac:dyDescent="0.2">
      <c r="A142" s="7" t="s">
        <v>53</v>
      </c>
      <c r="B142" s="7"/>
      <c r="C142" s="7"/>
      <c r="D142" s="74">
        <f>'Cost Input'!D87</f>
        <v>2</v>
      </c>
      <c r="E142" s="126">
        <f>'Cost Input'!E87</f>
        <v>0.7</v>
      </c>
      <c r="F142" s="85"/>
      <c r="G142" s="85"/>
      <c r="H142" s="85"/>
      <c r="I142" s="85"/>
      <c r="J142" s="85"/>
      <c r="K142" s="85"/>
      <c r="L142" s="85"/>
      <c r="M142" s="85"/>
      <c r="N142" s="85"/>
      <c r="O142" s="85"/>
      <c r="Q142" s="483"/>
    </row>
    <row r="143" spans="1:17" x14ac:dyDescent="0.2">
      <c r="A143" s="7" t="s">
        <v>54</v>
      </c>
      <c r="B143" s="7"/>
      <c r="C143" s="7"/>
      <c r="D143" s="73">
        <f>'Cost Input'!D88</f>
        <v>600</v>
      </c>
      <c r="E143" s="126">
        <f>'Cost Input'!E88</f>
        <v>0.6</v>
      </c>
      <c r="F143" s="71"/>
      <c r="G143" s="71"/>
      <c r="H143" s="71"/>
      <c r="I143" s="71"/>
      <c r="J143" s="71"/>
      <c r="K143" s="71"/>
      <c r="L143" s="71"/>
      <c r="M143" s="71"/>
      <c r="N143" s="71"/>
      <c r="O143" s="71"/>
      <c r="Q143" s="483"/>
    </row>
    <row r="144" spans="1:17" x14ac:dyDescent="0.2">
      <c r="A144" s="7" t="s">
        <v>171</v>
      </c>
      <c r="B144" s="7"/>
      <c r="C144" s="7"/>
      <c r="D144" s="73"/>
      <c r="E144" s="126"/>
      <c r="F144" s="66"/>
      <c r="G144" s="66"/>
      <c r="H144" s="66"/>
      <c r="I144" s="66"/>
      <c r="J144" s="66"/>
      <c r="K144" s="66"/>
      <c r="L144" s="66"/>
      <c r="M144" s="66"/>
      <c r="N144" s="66"/>
      <c r="O144" s="66"/>
    </row>
    <row r="145" spans="1:17" x14ac:dyDescent="0.2">
      <c r="A145" s="7" t="s">
        <v>231</v>
      </c>
      <c r="B145" s="7"/>
      <c r="C145" s="7"/>
      <c r="D145" s="73"/>
      <c r="E145" s="126"/>
      <c r="F145" s="66"/>
      <c r="G145" s="66"/>
      <c r="H145" s="66"/>
      <c r="I145" s="66"/>
      <c r="J145" s="66"/>
      <c r="K145" s="66"/>
      <c r="L145" s="66"/>
      <c r="M145" s="66"/>
      <c r="N145" s="66"/>
      <c r="O145" s="66"/>
    </row>
    <row r="146" spans="1:17" x14ac:dyDescent="0.2">
      <c r="A146" s="7" t="s">
        <v>228</v>
      </c>
      <c r="B146" s="7"/>
      <c r="C146" s="7"/>
      <c r="D146" s="73"/>
      <c r="E146" s="126"/>
      <c r="F146" s="86">
        <f ca="1">F9/'Cost Input'!$J22</f>
        <v>15.780875896648563</v>
      </c>
      <c r="G146" s="86">
        <f ca="1">G9/'Cost Input'!$J22</f>
        <v>9.0807279195183899</v>
      </c>
      <c r="H146" s="86">
        <f ca="1">H9/'Cost Input'!$J22</f>
        <v>5.466302047554942</v>
      </c>
      <c r="I146" s="86">
        <f ca="1">I9/'Cost Input'!$J22</f>
        <v>3.4946821769621983</v>
      </c>
      <c r="J146" s="86">
        <f ca="1">J9/'Cost Input'!$J22</f>
        <v>2.3903406312372852</v>
      </c>
      <c r="K146" s="86">
        <f ca="1">K9/'Cost Input'!$J22</f>
        <v>1.9035496191699046</v>
      </c>
      <c r="L146" s="86">
        <f ca="1">L9/'Cost Input'!$J22</f>
        <v>1.8684733508245956</v>
      </c>
      <c r="M146" s="86">
        <f ca="1">M9/'Cost Input'!$J22</f>
        <v>1.8242200730068361</v>
      </c>
      <c r="N146" s="86">
        <f ca="1">N9/'Cost Input'!$J22</f>
        <v>1.7975617662920185</v>
      </c>
      <c r="O146" s="86">
        <f ca="1">O9/'Cost Input'!$J22</f>
        <v>1.7747866827192971</v>
      </c>
    </row>
    <row r="147" spans="1:17" ht="14.25" x14ac:dyDescent="0.2">
      <c r="A147" s="252" t="s">
        <v>491</v>
      </c>
      <c r="B147" s="7"/>
      <c r="C147" s="7"/>
      <c r="D147" s="282">
        <f>'Cost Input'!D92</f>
        <v>0.28127792478399444</v>
      </c>
      <c r="E147" s="74"/>
      <c r="F147" s="86">
        <f t="shared" ref="F147:O147" ca="1" si="82">F50/F9</f>
        <v>2.2540169305446913E-2</v>
      </c>
      <c r="G147" s="86">
        <f t="shared" ca="1" si="82"/>
        <v>3.9062615455393648E-2</v>
      </c>
      <c r="H147" s="86">
        <f t="shared" ca="1" si="82"/>
        <v>6.4632396192111335E-2</v>
      </c>
      <c r="I147" s="86">
        <f t="shared" ca="1" si="82"/>
        <v>0.10054722390142869</v>
      </c>
      <c r="J147" s="86">
        <f t="shared" ca="1" si="82"/>
        <v>0.14794091778857704</v>
      </c>
      <c r="K147" s="86">
        <f t="shared" ca="1" si="82"/>
        <v>0.18429501084598662</v>
      </c>
      <c r="L147" s="86">
        <f t="shared" ca="1" si="82"/>
        <v>0.18429501084598668</v>
      </c>
      <c r="M147" s="86">
        <f t="shared" ca="1" si="82"/>
        <v>0.18429501084598701</v>
      </c>
      <c r="N147" s="86">
        <f t="shared" ca="1" si="82"/>
        <v>0.18429501084598693</v>
      </c>
      <c r="O147" s="86">
        <f t="shared" ca="1" si="82"/>
        <v>0.18429501084598698</v>
      </c>
    </row>
    <row r="148" spans="1:17" x14ac:dyDescent="0.2">
      <c r="A148" s="7" t="s">
        <v>51</v>
      </c>
      <c r="B148" s="7"/>
      <c r="C148" s="7"/>
      <c r="D148" s="73">
        <f>'Cost Input'!D93</f>
        <v>28800</v>
      </c>
      <c r="E148" s="126">
        <f>'Cost Input'!E93</f>
        <v>0.5</v>
      </c>
      <c r="F148" s="71">
        <f t="shared" ref="F148:O148" ca="1" si="83">$D148*F$146^$E148</f>
        <v>114408.43370886687</v>
      </c>
      <c r="G148" s="71">
        <f t="shared" ca="1" si="83"/>
        <v>86786.62895610898</v>
      </c>
      <c r="H148" s="71">
        <f t="shared" ca="1" si="83"/>
        <v>67334.757520347339</v>
      </c>
      <c r="I148" s="71">
        <f t="shared" ca="1" si="83"/>
        <v>53838.918867855486</v>
      </c>
      <c r="J148" s="71">
        <f t="shared" ca="1" si="83"/>
        <v>44526.892246971984</v>
      </c>
      <c r="K148" s="71">
        <f t="shared" ca="1" si="83"/>
        <v>39735.125470096173</v>
      </c>
      <c r="L148" s="71">
        <f t="shared" ca="1" si="83"/>
        <v>39367.328282574024</v>
      </c>
      <c r="M148" s="71">
        <f t="shared" ca="1" si="83"/>
        <v>38898.343118374469</v>
      </c>
      <c r="N148" s="71">
        <f t="shared" ca="1" si="83"/>
        <v>38613.075912613487</v>
      </c>
      <c r="O148" s="71">
        <f t="shared" ca="1" si="83"/>
        <v>38367.682574201608</v>
      </c>
    </row>
    <row r="149" spans="1:17" x14ac:dyDescent="0.2">
      <c r="A149" s="7" t="s">
        <v>53</v>
      </c>
      <c r="B149" s="7"/>
      <c r="C149" s="7"/>
      <c r="D149" s="74">
        <f>'Cost Input'!D94</f>
        <v>8</v>
      </c>
      <c r="E149" s="126">
        <f>'Cost Input'!E94</f>
        <v>0.8</v>
      </c>
      <c r="F149" s="85">
        <f t="shared" ref="F149:K149" ca="1" si="84">$D149*F$146^$E149*(F147/$D147)^0.2</f>
        <v>43.889352676844531</v>
      </c>
      <c r="G149" s="85">
        <f t="shared" ca="1" si="84"/>
        <v>31.485576634960719</v>
      </c>
      <c r="H149" s="85">
        <f t="shared" ca="1" si="84"/>
        <v>23.201059028688725</v>
      </c>
      <c r="I149" s="85">
        <f t="shared" ca="1" si="84"/>
        <v>17.719971622303873</v>
      </c>
      <c r="J149" s="85">
        <f t="shared" ca="1" si="84"/>
        <v>14.126948236628246</v>
      </c>
      <c r="K149" s="85">
        <f t="shared" ca="1" si="84"/>
        <v>12.303167432949961</v>
      </c>
      <c r="L149" s="85">
        <f t="shared" ref="L149:O149" ca="1" si="85">$D149*L$146^$E149*(L147/$D147)^0.2</f>
        <v>12.121464649858483</v>
      </c>
      <c r="M149" s="85">
        <f t="shared" ca="1" si="85"/>
        <v>11.89124581716804</v>
      </c>
      <c r="N149" s="85">
        <f t="shared" ca="1" si="85"/>
        <v>11.752022940464592</v>
      </c>
      <c r="O149" s="85">
        <f t="shared" ca="1" si="85"/>
        <v>11.632752868420614</v>
      </c>
    </row>
    <row r="150" spans="1:17" x14ac:dyDescent="0.2">
      <c r="A150" s="7" t="s">
        <v>54</v>
      </c>
      <c r="B150" s="7"/>
      <c r="C150" s="7"/>
      <c r="D150" s="73">
        <f>'Cost Input'!D95</f>
        <v>750</v>
      </c>
      <c r="E150" s="126">
        <f>'Cost Input'!E95</f>
        <v>0.8</v>
      </c>
      <c r="F150" s="71">
        <f t="shared" ref="F150:O150" ca="1" si="86">$D150*F$146^$E150</f>
        <v>6816.5738940741758</v>
      </c>
      <c r="G150" s="71">
        <f t="shared" ca="1" si="86"/>
        <v>4380.8440572020099</v>
      </c>
      <c r="H150" s="71">
        <f t="shared" ca="1" si="86"/>
        <v>2918.8794826172443</v>
      </c>
      <c r="I150" s="71">
        <f t="shared" ca="1" si="86"/>
        <v>2040.7387519196936</v>
      </c>
      <c r="J150" s="71">
        <f t="shared" ca="1" si="86"/>
        <v>1506.0143095152891</v>
      </c>
      <c r="K150" s="71">
        <f t="shared" ca="1" si="86"/>
        <v>1255.1991165643356</v>
      </c>
      <c r="L150" s="71">
        <f t="shared" ca="1" si="86"/>
        <v>1236.6613559383293</v>
      </c>
      <c r="M150" s="71">
        <f t="shared" ca="1" si="86"/>
        <v>1213.1738697292403</v>
      </c>
      <c r="N150" s="71">
        <f t="shared" ca="1" si="86"/>
        <v>1198.9700126496646</v>
      </c>
      <c r="O150" s="71">
        <f t="shared" ca="1" si="86"/>
        <v>1186.801789313841</v>
      </c>
    </row>
    <row r="151" spans="1:17" x14ac:dyDescent="0.2">
      <c r="A151" s="7" t="s">
        <v>232</v>
      </c>
      <c r="B151" s="7"/>
      <c r="C151" s="7"/>
      <c r="D151" s="73"/>
      <c r="E151" s="126"/>
      <c r="F151" s="66"/>
      <c r="G151" s="66"/>
      <c r="H151" s="66"/>
      <c r="I151" s="66"/>
      <c r="J151" s="66"/>
      <c r="K151" s="66"/>
      <c r="L151" s="66"/>
      <c r="M151" s="66"/>
      <c r="N151" s="66"/>
      <c r="O151" s="66"/>
    </row>
    <row r="152" spans="1:17" x14ac:dyDescent="0.2">
      <c r="A152" s="7" t="s">
        <v>228</v>
      </c>
      <c r="B152" s="7"/>
      <c r="C152" s="7"/>
      <c r="D152" s="73"/>
      <c r="E152" s="126"/>
      <c r="F152" s="86">
        <f t="shared" ref="F152:K152" ca="1" si="87">F146</f>
        <v>15.780875896648563</v>
      </c>
      <c r="G152" s="86">
        <f t="shared" ca="1" si="87"/>
        <v>9.0807279195183899</v>
      </c>
      <c r="H152" s="86">
        <f t="shared" ca="1" si="87"/>
        <v>5.466302047554942</v>
      </c>
      <c r="I152" s="86">
        <f t="shared" ca="1" si="87"/>
        <v>3.4946821769621983</v>
      </c>
      <c r="J152" s="86">
        <f t="shared" ca="1" si="87"/>
        <v>2.3903406312372852</v>
      </c>
      <c r="K152" s="86">
        <f t="shared" ca="1" si="87"/>
        <v>1.9035496191699046</v>
      </c>
      <c r="L152" s="86">
        <f t="shared" ref="L152:O152" ca="1" si="88">L146</f>
        <v>1.8684733508245956</v>
      </c>
      <c r="M152" s="86">
        <f t="shared" ca="1" si="88"/>
        <v>1.8242200730068361</v>
      </c>
      <c r="N152" s="86">
        <f t="shared" ca="1" si="88"/>
        <v>1.7975617662920185</v>
      </c>
      <c r="O152" s="86">
        <f t="shared" ca="1" si="88"/>
        <v>1.7747866827192971</v>
      </c>
    </row>
    <row r="153" spans="1:17" ht="14.25" x14ac:dyDescent="0.2">
      <c r="A153" s="252" t="s">
        <v>491</v>
      </c>
      <c r="B153" s="7"/>
      <c r="C153" s="7"/>
      <c r="D153" s="282">
        <f>'Cost Input'!D98</f>
        <v>0.18602721768598535</v>
      </c>
      <c r="E153" s="74"/>
      <c r="F153" s="283">
        <f t="shared" ref="F153:O153" ca="1" si="89">F51/F9</f>
        <v>0</v>
      </c>
      <c r="G153" s="283">
        <f t="shared" ca="1" si="89"/>
        <v>0</v>
      </c>
      <c r="H153" s="283">
        <f t="shared" ca="1" si="89"/>
        <v>0</v>
      </c>
      <c r="I153" s="283">
        <f t="shared" ca="1" si="89"/>
        <v>0</v>
      </c>
      <c r="J153" s="283">
        <f t="shared" ca="1" si="89"/>
        <v>0</v>
      </c>
      <c r="K153" s="283">
        <f t="shared" ca="1" si="89"/>
        <v>0</v>
      </c>
      <c r="L153" s="283">
        <f t="shared" ca="1" si="89"/>
        <v>0</v>
      </c>
      <c r="M153" s="283">
        <f t="shared" ca="1" si="89"/>
        <v>0</v>
      </c>
      <c r="N153" s="283">
        <f t="shared" ca="1" si="89"/>
        <v>0</v>
      </c>
      <c r="O153" s="283">
        <f t="shared" ca="1" si="89"/>
        <v>0</v>
      </c>
    </row>
    <row r="154" spans="1:17" x14ac:dyDescent="0.2">
      <c r="A154" s="7" t="s">
        <v>51</v>
      </c>
      <c r="B154" s="7"/>
      <c r="C154" s="7"/>
      <c r="D154" s="73">
        <f>'Cost Input'!D99</f>
        <v>28800</v>
      </c>
      <c r="E154" s="126">
        <f>'Cost Input'!E99</f>
        <v>0.5</v>
      </c>
      <c r="F154" s="71"/>
      <c r="G154" s="71"/>
      <c r="H154" s="71"/>
      <c r="I154" s="71"/>
      <c r="J154" s="71"/>
      <c r="K154" s="71"/>
      <c r="L154" s="71"/>
      <c r="M154" s="71"/>
      <c r="N154" s="71"/>
      <c r="O154" s="71"/>
      <c r="Q154" s="483"/>
    </row>
    <row r="155" spans="1:17" x14ac:dyDescent="0.2">
      <c r="A155" s="7" t="s">
        <v>53</v>
      </c>
      <c r="B155" s="7"/>
      <c r="C155" s="7"/>
      <c r="D155" s="74">
        <f>'Cost Input'!D100</f>
        <v>8</v>
      </c>
      <c r="E155" s="126">
        <f>'Cost Input'!E100</f>
        <v>0.8</v>
      </c>
      <c r="F155" s="85"/>
      <c r="G155" s="85"/>
      <c r="H155" s="85"/>
      <c r="I155" s="85"/>
      <c r="J155" s="85"/>
      <c r="K155" s="85"/>
      <c r="L155" s="85"/>
      <c r="M155" s="85"/>
      <c r="N155" s="85"/>
      <c r="O155" s="85"/>
      <c r="Q155" s="483"/>
    </row>
    <row r="156" spans="1:17" x14ac:dyDescent="0.2">
      <c r="A156" s="7" t="s">
        <v>54</v>
      </c>
      <c r="B156" s="7"/>
      <c r="C156" s="7"/>
      <c r="D156" s="73">
        <f>'Cost Input'!D101</f>
        <v>750</v>
      </c>
      <c r="E156" s="126">
        <f>'Cost Input'!E101</f>
        <v>0.8</v>
      </c>
      <c r="F156" s="71"/>
      <c r="G156" s="71"/>
      <c r="H156" s="71"/>
      <c r="I156" s="71"/>
      <c r="J156" s="71"/>
      <c r="K156" s="71"/>
      <c r="L156" s="71"/>
      <c r="M156" s="71"/>
      <c r="N156" s="71"/>
      <c r="O156" s="71"/>
      <c r="Q156" s="483"/>
    </row>
    <row r="157" spans="1:17" x14ac:dyDescent="0.2">
      <c r="A157" t="s">
        <v>270</v>
      </c>
      <c r="B157" s="7"/>
      <c r="C157" s="7"/>
      <c r="D157" s="73"/>
      <c r="E157" s="126"/>
      <c r="F157" s="71"/>
      <c r="G157" s="71"/>
      <c r="H157" s="71"/>
      <c r="I157" s="71"/>
      <c r="J157" s="71"/>
      <c r="K157" s="71"/>
      <c r="L157" s="71"/>
      <c r="M157" s="71"/>
      <c r="N157" s="71"/>
      <c r="O157" s="71"/>
    </row>
    <row r="158" spans="1:17" x14ac:dyDescent="0.2">
      <c r="A158" s="7" t="s">
        <v>228</v>
      </c>
      <c r="B158" s="7"/>
      <c r="C158" s="7"/>
      <c r="D158" s="73"/>
      <c r="E158" s="126"/>
      <c r="F158" s="86">
        <f ca="1">F12/'Cost Input'!$J25</f>
        <v>1.2645984030621766</v>
      </c>
      <c r="G158" s="86">
        <f ca="1">G12/'Cost Input'!$J25</f>
        <v>1.2610907274279846</v>
      </c>
      <c r="H158" s="86">
        <f ca="1">H12/'Cost Input'!$J25</f>
        <v>1.256053776401894</v>
      </c>
      <c r="I158" s="86">
        <f ca="1">I12/'Cost Input'!$J25</f>
        <v>1.2492291799342945</v>
      </c>
      <c r="J158" s="86">
        <f ca="1">J12/'Cost Input'!$J25</f>
        <v>1.2572233924298208</v>
      </c>
      <c r="K158" s="86">
        <f ca="1">K12/'Cost Input'!$J25</f>
        <v>1.2472173135527671</v>
      </c>
      <c r="L158" s="86">
        <f ca="1">L12/'Cost Input'!$J25</f>
        <v>1.2242351287257867</v>
      </c>
      <c r="M158" s="86">
        <f ca="1">M12/'Cost Input'!$J25</f>
        <v>1.1952401113540658</v>
      </c>
      <c r="N158" s="86">
        <f ca="1">N12/'Cost Input'!$J25</f>
        <v>1.1777734262990049</v>
      </c>
      <c r="O158" s="86">
        <f ca="1">O12/'Cost Input'!$J25</f>
        <v>1.1628510527168046</v>
      </c>
    </row>
    <row r="159" spans="1:17" x14ac:dyDescent="0.2">
      <c r="A159" s="7" t="s">
        <v>51</v>
      </c>
      <c r="B159" s="7"/>
      <c r="C159" s="7"/>
      <c r="D159" s="73">
        <f>'Cost Input'!D104</f>
        <v>14400</v>
      </c>
      <c r="E159" s="126">
        <f>'Cost Input'!E104</f>
        <v>0.4</v>
      </c>
      <c r="F159" s="71">
        <f t="shared" ref="F159:O161" ca="1" si="90">$D159*F$158^$E159</f>
        <v>15817.707623123317</v>
      </c>
      <c r="G159" s="71">
        <f t="shared" ca="1" si="90"/>
        <v>15800.143272269959</v>
      </c>
      <c r="H159" s="71">
        <f t="shared" ca="1" si="90"/>
        <v>15774.869876491191</v>
      </c>
      <c r="I159" s="71">
        <f t="shared" ca="1" si="90"/>
        <v>15740.529590859951</v>
      </c>
      <c r="J159" s="71">
        <f t="shared" ca="1" si="90"/>
        <v>15780.743952681674</v>
      </c>
      <c r="K159" s="71">
        <f t="shared" ca="1" si="90"/>
        <v>15730.384725157866</v>
      </c>
      <c r="L159" s="71">
        <f t="shared" ca="1" si="90"/>
        <v>15613.793343728146</v>
      </c>
      <c r="M159" s="71">
        <f t="shared" ca="1" si="90"/>
        <v>15464.808830988954</v>
      </c>
      <c r="N159" s="71">
        <f t="shared" ca="1" si="90"/>
        <v>15374.011181580223</v>
      </c>
      <c r="O159" s="71">
        <f t="shared" ca="1" si="90"/>
        <v>15295.797601034445</v>
      </c>
    </row>
    <row r="160" spans="1:17" x14ac:dyDescent="0.2">
      <c r="A160" s="7" t="s">
        <v>53</v>
      </c>
      <c r="B160" s="7"/>
      <c r="C160" s="7"/>
      <c r="D160" s="73">
        <f>'Cost Input'!D105</f>
        <v>3</v>
      </c>
      <c r="E160" s="126">
        <f>'Cost Input'!E105</f>
        <v>0.6</v>
      </c>
      <c r="F160" s="85">
        <f t="shared" ca="1" si="90"/>
        <v>3.4537653820597569</v>
      </c>
      <c r="G160" s="85">
        <f t="shared" ca="1" si="90"/>
        <v>3.4480142670922809</v>
      </c>
      <c r="H160" s="85">
        <f t="shared" ca="1" si="90"/>
        <v>3.4397445789030638</v>
      </c>
      <c r="I160" s="85">
        <f t="shared" ca="1" si="90"/>
        <v>3.4285187332259994</v>
      </c>
      <c r="J160" s="85">
        <f t="shared" ca="1" si="90"/>
        <v>3.4416660403224419</v>
      </c>
      <c r="K160" s="85">
        <f t="shared" ca="1" si="90"/>
        <v>3.4252047160238037</v>
      </c>
      <c r="L160" s="85">
        <f t="shared" ca="1" si="90"/>
        <v>3.3871946679887355</v>
      </c>
      <c r="M160" s="85">
        <f t="shared" ca="1" si="90"/>
        <v>3.338830332453175</v>
      </c>
      <c r="N160" s="85">
        <f t="shared" ca="1" si="90"/>
        <v>3.3094689092640115</v>
      </c>
      <c r="O160" s="85">
        <f t="shared" ca="1" si="90"/>
        <v>3.2842462215875941</v>
      </c>
    </row>
    <row r="161" spans="1:15" x14ac:dyDescent="0.2">
      <c r="A161" s="7" t="s">
        <v>54</v>
      </c>
      <c r="B161" s="7"/>
      <c r="C161" s="7"/>
      <c r="D161" s="73">
        <f>'Cost Input'!D106</f>
        <v>225</v>
      </c>
      <c r="E161" s="126">
        <f>'Cost Input'!E106</f>
        <v>0.6</v>
      </c>
      <c r="F161" s="71">
        <f t="shared" ca="1" si="90"/>
        <v>259.03240365448175</v>
      </c>
      <c r="G161" s="71">
        <f t="shared" ca="1" si="90"/>
        <v>258.60107003192104</v>
      </c>
      <c r="H161" s="71">
        <f t="shared" ca="1" si="90"/>
        <v>257.98084341772977</v>
      </c>
      <c r="I161" s="71">
        <f t="shared" ca="1" si="90"/>
        <v>257.13890499194991</v>
      </c>
      <c r="J161" s="71">
        <f t="shared" ca="1" si="90"/>
        <v>258.12495302418313</v>
      </c>
      <c r="K161" s="71">
        <f t="shared" ca="1" si="90"/>
        <v>256.89035370178527</v>
      </c>
      <c r="L161" s="71">
        <f t="shared" ca="1" si="90"/>
        <v>254.03960009915517</v>
      </c>
      <c r="M161" s="71">
        <f t="shared" ca="1" si="90"/>
        <v>250.41227493398813</v>
      </c>
      <c r="N161" s="71">
        <f t="shared" ca="1" si="90"/>
        <v>248.21016819480087</v>
      </c>
      <c r="O161" s="71">
        <f t="shared" ca="1" si="90"/>
        <v>246.31846661906957</v>
      </c>
    </row>
    <row r="162" spans="1:15" x14ac:dyDescent="0.2">
      <c r="A162" s="7" t="s">
        <v>216</v>
      </c>
      <c r="B162" s="7"/>
      <c r="C162" s="7"/>
      <c r="D162" s="73"/>
      <c r="E162" s="126"/>
      <c r="F162" s="66"/>
      <c r="G162" s="66"/>
      <c r="H162" s="66"/>
      <c r="I162" s="66"/>
      <c r="J162" s="66"/>
      <c r="K162" s="66"/>
      <c r="L162" s="66"/>
      <c r="M162" s="66"/>
      <c r="N162" s="66"/>
      <c r="O162" s="66"/>
    </row>
    <row r="163" spans="1:15" x14ac:dyDescent="0.2">
      <c r="A163" s="7" t="s">
        <v>231</v>
      </c>
      <c r="B163" s="7"/>
      <c r="C163" s="7"/>
      <c r="D163" s="73"/>
      <c r="E163" s="126"/>
      <c r="F163" s="66"/>
      <c r="G163" s="66"/>
      <c r="H163" s="66"/>
      <c r="I163" s="66"/>
      <c r="J163" s="66"/>
      <c r="K163" s="66"/>
      <c r="L163" s="66"/>
      <c r="M163" s="66"/>
      <c r="N163" s="66"/>
      <c r="O163" s="66"/>
    </row>
    <row r="164" spans="1:15" x14ac:dyDescent="0.2">
      <c r="A164" s="7" t="s">
        <v>228</v>
      </c>
      <c r="B164" s="7"/>
      <c r="C164" s="7"/>
      <c r="D164" s="73"/>
      <c r="E164" s="126"/>
      <c r="F164" s="86">
        <f t="shared" ref="F164:K164" ca="1" si="91">F146</f>
        <v>15.780875896648563</v>
      </c>
      <c r="G164" s="86">
        <f t="shared" ca="1" si="91"/>
        <v>9.0807279195183899</v>
      </c>
      <c r="H164" s="86">
        <f t="shared" ca="1" si="91"/>
        <v>5.466302047554942</v>
      </c>
      <c r="I164" s="86">
        <f t="shared" ca="1" si="91"/>
        <v>3.4946821769621983</v>
      </c>
      <c r="J164" s="86">
        <f t="shared" ca="1" si="91"/>
        <v>2.3903406312372852</v>
      </c>
      <c r="K164" s="86">
        <f t="shared" ca="1" si="91"/>
        <v>1.9035496191699046</v>
      </c>
      <c r="L164" s="86">
        <f t="shared" ref="L164:O164" ca="1" si="92">L146</f>
        <v>1.8684733508245956</v>
      </c>
      <c r="M164" s="86">
        <f t="shared" ca="1" si="92"/>
        <v>1.8242200730068361</v>
      </c>
      <c r="N164" s="86">
        <f t="shared" ca="1" si="92"/>
        <v>1.7975617662920185</v>
      </c>
      <c r="O164" s="86">
        <f t="shared" ca="1" si="92"/>
        <v>1.7747866827192971</v>
      </c>
    </row>
    <row r="165" spans="1:15" x14ac:dyDescent="0.2">
      <c r="A165" s="7" t="s">
        <v>51</v>
      </c>
      <c r="B165" s="7"/>
      <c r="C165" s="7"/>
      <c r="D165" s="73">
        <f>'Cost Input'!D110</f>
        <v>14400</v>
      </c>
      <c r="E165" s="126">
        <f>'Cost Input'!E110</f>
        <v>0.5</v>
      </c>
      <c r="F165" s="71">
        <f t="shared" ref="F165:O167" ca="1" si="93">$D165*F$164^$E165</f>
        <v>57204.216854433434</v>
      </c>
      <c r="G165" s="71">
        <f t="shared" ca="1" si="93"/>
        <v>43393.31447805449</v>
      </c>
      <c r="H165" s="71">
        <f t="shared" ca="1" si="93"/>
        <v>33667.378760173669</v>
      </c>
      <c r="I165" s="71">
        <f t="shared" ca="1" si="93"/>
        <v>26919.459433927743</v>
      </c>
      <c r="J165" s="71">
        <f t="shared" ca="1" si="93"/>
        <v>22263.446123485992</v>
      </c>
      <c r="K165" s="71">
        <f t="shared" ca="1" si="93"/>
        <v>19867.562735048086</v>
      </c>
      <c r="L165" s="71">
        <f t="shared" ca="1" si="93"/>
        <v>19683.664141287012</v>
      </c>
      <c r="M165" s="71">
        <f t="shared" ca="1" si="93"/>
        <v>19449.171559187234</v>
      </c>
      <c r="N165" s="71">
        <f t="shared" ca="1" si="93"/>
        <v>19306.537956306744</v>
      </c>
      <c r="O165" s="71">
        <f t="shared" ca="1" si="93"/>
        <v>19183.841287100804</v>
      </c>
    </row>
    <row r="166" spans="1:15" x14ac:dyDescent="0.2">
      <c r="A166" s="7" t="s">
        <v>53</v>
      </c>
      <c r="B166" s="7"/>
      <c r="C166" s="7"/>
      <c r="D166" s="74">
        <f>'Cost Input'!D111</f>
        <v>1</v>
      </c>
      <c r="E166" s="126">
        <f>'Cost Input'!E111</f>
        <v>0.7</v>
      </c>
      <c r="F166" s="85">
        <f t="shared" ca="1" si="93"/>
        <v>6.8975010162482047</v>
      </c>
      <c r="G166" s="85">
        <f t="shared" ca="1" si="93"/>
        <v>4.6847289057886323</v>
      </c>
      <c r="H166" s="85">
        <f t="shared" ca="1" si="93"/>
        <v>3.2838668369384134</v>
      </c>
      <c r="I166" s="85">
        <f t="shared" ca="1" si="93"/>
        <v>2.4009625142056712</v>
      </c>
      <c r="J166" s="85">
        <f t="shared" ca="1" si="93"/>
        <v>1.8404408135743267</v>
      </c>
      <c r="K166" s="85">
        <f t="shared" ca="1" si="93"/>
        <v>1.5692601318461048</v>
      </c>
      <c r="L166" s="85">
        <f t="shared" ca="1" si="93"/>
        <v>1.548962257245508</v>
      </c>
      <c r="M166" s="85">
        <f t="shared" ca="1" si="93"/>
        <v>1.523189934498246</v>
      </c>
      <c r="N166" s="85">
        <f t="shared" ca="1" si="93"/>
        <v>1.507574127148926</v>
      </c>
      <c r="O166" s="85">
        <f t="shared" ca="1" si="93"/>
        <v>1.4941779148553018</v>
      </c>
    </row>
    <row r="167" spans="1:15" x14ac:dyDescent="0.2">
      <c r="A167" s="7" t="s">
        <v>54</v>
      </c>
      <c r="B167" s="7"/>
      <c r="C167" s="7"/>
      <c r="D167" s="73">
        <f>'Cost Input'!D112</f>
        <v>225</v>
      </c>
      <c r="E167" s="126">
        <f>'Cost Input'!E112</f>
        <v>0.6</v>
      </c>
      <c r="F167" s="71">
        <f t="shared" ca="1" si="93"/>
        <v>1177.7718792717105</v>
      </c>
      <c r="G167" s="71">
        <f t="shared" ca="1" si="93"/>
        <v>845.38573663332636</v>
      </c>
      <c r="H167" s="71">
        <f t="shared" ca="1" si="93"/>
        <v>623.44578546330513</v>
      </c>
      <c r="I167" s="71">
        <f t="shared" ca="1" si="93"/>
        <v>476.68021785110079</v>
      </c>
      <c r="J167" s="71">
        <f t="shared" ca="1" si="93"/>
        <v>379.54073504424537</v>
      </c>
      <c r="K167" s="71">
        <f t="shared" ca="1" si="93"/>
        <v>331.07092273453617</v>
      </c>
      <c r="L167" s="71">
        <f t="shared" ca="1" si="93"/>
        <v>327.39697541766952</v>
      </c>
      <c r="M167" s="71">
        <f t="shared" ca="1" si="93"/>
        <v>322.72221098146076</v>
      </c>
      <c r="N167" s="71">
        <f t="shared" ca="1" si="93"/>
        <v>319.88421609532747</v>
      </c>
      <c r="O167" s="71">
        <f t="shared" ca="1" si="93"/>
        <v>317.44626006782011</v>
      </c>
    </row>
    <row r="168" spans="1:15" x14ac:dyDescent="0.2">
      <c r="A168" s="7" t="s">
        <v>232</v>
      </c>
      <c r="B168" s="7"/>
      <c r="C168" s="7"/>
      <c r="D168" s="73"/>
      <c r="E168" s="126"/>
    </row>
    <row r="169" spans="1:15" x14ac:dyDescent="0.2">
      <c r="A169" s="7" t="s">
        <v>228</v>
      </c>
      <c r="B169" s="7"/>
      <c r="C169" s="7"/>
      <c r="D169" s="73"/>
      <c r="E169" s="126"/>
      <c r="F169" s="87">
        <f t="shared" ref="F169:K169" ca="1" si="94">F152</f>
        <v>15.780875896648563</v>
      </c>
      <c r="G169" s="87">
        <f t="shared" ca="1" si="94"/>
        <v>9.0807279195183899</v>
      </c>
      <c r="H169" s="87">
        <f t="shared" ca="1" si="94"/>
        <v>5.466302047554942</v>
      </c>
      <c r="I169" s="87">
        <f t="shared" ca="1" si="94"/>
        <v>3.4946821769621983</v>
      </c>
      <c r="J169" s="87">
        <f t="shared" ca="1" si="94"/>
        <v>2.3903406312372852</v>
      </c>
      <c r="K169" s="87">
        <f t="shared" ca="1" si="94"/>
        <v>1.9035496191699046</v>
      </c>
      <c r="L169" s="87">
        <f t="shared" ref="L169:O169" ca="1" si="95">L152</f>
        <v>1.8684733508245956</v>
      </c>
      <c r="M169" s="87">
        <f t="shared" ca="1" si="95"/>
        <v>1.8242200730068361</v>
      </c>
      <c r="N169" s="87">
        <f t="shared" ca="1" si="95"/>
        <v>1.7975617662920185</v>
      </c>
      <c r="O169" s="87">
        <f t="shared" ca="1" si="95"/>
        <v>1.7747866827192971</v>
      </c>
    </row>
    <row r="170" spans="1:15" x14ac:dyDescent="0.2">
      <c r="A170" s="7" t="s">
        <v>51</v>
      </c>
      <c r="B170" s="7"/>
      <c r="C170" s="7"/>
      <c r="D170" s="73">
        <f>'Cost Input'!D115</f>
        <v>7200</v>
      </c>
      <c r="E170" s="126">
        <f>'Cost Input'!E115</f>
        <v>0.5</v>
      </c>
      <c r="F170" s="71">
        <f t="shared" ref="F170:O172" ca="1" si="96">$D170*F$169^$E170</f>
        <v>28602.108427216717</v>
      </c>
      <c r="G170" s="71">
        <f t="shared" ca="1" si="96"/>
        <v>21696.657239027245</v>
      </c>
      <c r="H170" s="71">
        <f t="shared" ca="1" si="96"/>
        <v>16833.689380086835</v>
      </c>
      <c r="I170" s="71">
        <f t="shared" ca="1" si="96"/>
        <v>13459.729716963871</v>
      </c>
      <c r="J170" s="71">
        <f t="shared" ca="1" si="96"/>
        <v>11131.723061742996</v>
      </c>
      <c r="K170" s="71">
        <f t="shared" ca="1" si="96"/>
        <v>9933.7813675240432</v>
      </c>
      <c r="L170" s="71">
        <f t="shared" ca="1" si="96"/>
        <v>9841.8320706435061</v>
      </c>
      <c r="M170" s="71">
        <f t="shared" ca="1" si="96"/>
        <v>9724.5857795936172</v>
      </c>
      <c r="N170" s="71">
        <f t="shared" ca="1" si="96"/>
        <v>9653.2689781533718</v>
      </c>
      <c r="O170" s="71">
        <f t="shared" ca="1" si="96"/>
        <v>9591.920643550402</v>
      </c>
    </row>
    <row r="171" spans="1:15" x14ac:dyDescent="0.2">
      <c r="A171" s="7" t="s">
        <v>53</v>
      </c>
      <c r="B171" s="7"/>
      <c r="C171" s="7"/>
      <c r="D171" s="74">
        <f>'Cost Input'!D116</f>
        <v>1</v>
      </c>
      <c r="E171" s="126">
        <f>'Cost Input'!E116</f>
        <v>0.7</v>
      </c>
      <c r="F171" s="85">
        <f t="shared" ca="1" si="96"/>
        <v>6.8975010162482047</v>
      </c>
      <c r="G171" s="85">
        <f t="shared" ca="1" si="96"/>
        <v>4.6847289057886323</v>
      </c>
      <c r="H171" s="85">
        <f t="shared" ca="1" si="96"/>
        <v>3.2838668369384134</v>
      </c>
      <c r="I171" s="85">
        <f t="shared" ca="1" si="96"/>
        <v>2.4009625142056712</v>
      </c>
      <c r="J171" s="85">
        <f t="shared" ca="1" si="96"/>
        <v>1.8404408135743267</v>
      </c>
      <c r="K171" s="85">
        <f t="shared" ca="1" si="96"/>
        <v>1.5692601318461048</v>
      </c>
      <c r="L171" s="85">
        <f t="shared" ca="1" si="96"/>
        <v>1.548962257245508</v>
      </c>
      <c r="M171" s="85">
        <f t="shared" ca="1" si="96"/>
        <v>1.523189934498246</v>
      </c>
      <c r="N171" s="85">
        <f t="shared" ca="1" si="96"/>
        <v>1.507574127148926</v>
      </c>
      <c r="O171" s="85">
        <f t="shared" ca="1" si="96"/>
        <v>1.4941779148553018</v>
      </c>
    </row>
    <row r="172" spans="1:15" x14ac:dyDescent="0.2">
      <c r="A172" s="7" t="s">
        <v>54</v>
      </c>
      <c r="B172" s="7"/>
      <c r="C172" s="7"/>
      <c r="D172" s="73">
        <f>'Cost Input'!D117</f>
        <v>225</v>
      </c>
      <c r="E172" s="126">
        <f>'Cost Input'!E117</f>
        <v>0.6</v>
      </c>
      <c r="F172" s="71">
        <f t="shared" ca="1" si="96"/>
        <v>1177.7718792717105</v>
      </c>
      <c r="G172" s="71">
        <f t="shared" ca="1" si="96"/>
        <v>845.38573663332636</v>
      </c>
      <c r="H172" s="71">
        <f t="shared" ca="1" si="96"/>
        <v>623.44578546330513</v>
      </c>
      <c r="I172" s="71">
        <f t="shared" ca="1" si="96"/>
        <v>476.68021785110079</v>
      </c>
      <c r="J172" s="71">
        <f t="shared" ca="1" si="96"/>
        <v>379.54073504424537</v>
      </c>
      <c r="K172" s="71">
        <f t="shared" ca="1" si="96"/>
        <v>331.07092273453617</v>
      </c>
      <c r="L172" s="71">
        <f t="shared" ca="1" si="96"/>
        <v>327.39697541766952</v>
      </c>
      <c r="M172" s="71">
        <f t="shared" ca="1" si="96"/>
        <v>322.72221098146076</v>
      </c>
      <c r="N172" s="71">
        <f t="shared" ca="1" si="96"/>
        <v>319.88421609532747</v>
      </c>
      <c r="O172" s="71">
        <f t="shared" ca="1" si="96"/>
        <v>317.44626006782011</v>
      </c>
    </row>
    <row r="173" spans="1:15" x14ac:dyDescent="0.2">
      <c r="A173" s="7" t="s">
        <v>221</v>
      </c>
      <c r="B173" s="7"/>
      <c r="C173" s="7"/>
      <c r="D173" s="10"/>
      <c r="E173" s="72"/>
      <c r="F173" s="66"/>
      <c r="G173" s="66"/>
      <c r="H173" s="66"/>
      <c r="I173" s="66"/>
      <c r="J173" s="66"/>
      <c r="K173" s="66"/>
      <c r="L173" s="66"/>
      <c r="M173" s="66"/>
      <c r="N173" s="66"/>
      <c r="O173" s="66"/>
    </row>
    <row r="174" spans="1:15" x14ac:dyDescent="0.2">
      <c r="A174" s="7" t="s">
        <v>228</v>
      </c>
      <c r="B174" s="7"/>
      <c r="C174" s="7"/>
      <c r="D174" s="10"/>
      <c r="E174" s="72"/>
      <c r="F174" s="88">
        <f t="shared" ref="F174:K174" ca="1" si="97">F164</f>
        <v>15.780875896648563</v>
      </c>
      <c r="G174" s="88">
        <f t="shared" ca="1" si="97"/>
        <v>9.0807279195183899</v>
      </c>
      <c r="H174" s="88">
        <f t="shared" ca="1" si="97"/>
        <v>5.466302047554942</v>
      </c>
      <c r="I174" s="88">
        <f t="shared" ca="1" si="97"/>
        <v>3.4946821769621983</v>
      </c>
      <c r="J174" s="88">
        <f t="shared" ca="1" si="97"/>
        <v>2.3903406312372852</v>
      </c>
      <c r="K174" s="88">
        <f t="shared" ca="1" si="97"/>
        <v>1.9035496191699046</v>
      </c>
      <c r="L174" s="88">
        <f t="shared" ref="L174:O174" ca="1" si="98">L164</f>
        <v>1.8684733508245956</v>
      </c>
      <c r="M174" s="88">
        <f t="shared" ca="1" si="98"/>
        <v>1.8242200730068361</v>
      </c>
      <c r="N174" s="88">
        <f t="shared" ca="1" si="98"/>
        <v>1.7975617662920185</v>
      </c>
      <c r="O174" s="88">
        <f t="shared" ca="1" si="98"/>
        <v>1.7747866827192971</v>
      </c>
    </row>
    <row r="175" spans="1:15" x14ac:dyDescent="0.2">
      <c r="A175" s="7" t="s">
        <v>51</v>
      </c>
      <c r="B175" s="7"/>
      <c r="C175" s="7"/>
      <c r="D175" s="71">
        <f>'Cost Input'!D120</f>
        <v>28800</v>
      </c>
      <c r="E175" s="85">
        <f>'Cost Input'!E120</f>
        <v>0.7</v>
      </c>
      <c r="F175" s="71">
        <f t="shared" ref="F175:O177" ca="1" si="99">$D175*F$174^$E175</f>
        <v>198648.0292679483</v>
      </c>
      <c r="G175" s="71">
        <f t="shared" ca="1" si="99"/>
        <v>134920.19248671262</v>
      </c>
      <c r="H175" s="71">
        <f t="shared" ca="1" si="99"/>
        <v>94575.36490382631</v>
      </c>
      <c r="I175" s="71">
        <f t="shared" ca="1" si="99"/>
        <v>69147.720409123329</v>
      </c>
      <c r="J175" s="71">
        <f t="shared" ca="1" si="99"/>
        <v>53004.695430940606</v>
      </c>
      <c r="K175" s="71">
        <f t="shared" ca="1" si="99"/>
        <v>45194.691797167819</v>
      </c>
      <c r="L175" s="71">
        <f t="shared" ca="1" si="99"/>
        <v>44610.113008670633</v>
      </c>
      <c r="M175" s="71">
        <f t="shared" ca="1" si="99"/>
        <v>43867.870113549485</v>
      </c>
      <c r="N175" s="71">
        <f t="shared" ca="1" si="99"/>
        <v>43418.13486188907</v>
      </c>
      <c r="O175" s="71">
        <f t="shared" ca="1" si="99"/>
        <v>43032.323947832694</v>
      </c>
    </row>
    <row r="176" spans="1:15" x14ac:dyDescent="0.2">
      <c r="A176" s="7" t="s">
        <v>53</v>
      </c>
      <c r="B176" s="7"/>
      <c r="C176" s="7"/>
      <c r="D176" s="85">
        <f>'Cost Input'!D121</f>
        <v>1.5</v>
      </c>
      <c r="E176" s="85">
        <f>'Cost Input'!E121</f>
        <v>0.7</v>
      </c>
      <c r="F176" s="85">
        <f t="shared" ca="1" si="99"/>
        <v>10.346251524372306</v>
      </c>
      <c r="G176" s="85">
        <f t="shared" ca="1" si="99"/>
        <v>7.0270933586829489</v>
      </c>
      <c r="H176" s="85">
        <f t="shared" ca="1" si="99"/>
        <v>4.9258002554076201</v>
      </c>
      <c r="I176" s="85">
        <f t="shared" ca="1" si="99"/>
        <v>3.6014437713085066</v>
      </c>
      <c r="J176" s="85">
        <f t="shared" ca="1" si="99"/>
        <v>2.7606612203614898</v>
      </c>
      <c r="K176" s="85">
        <f t="shared" ca="1" si="99"/>
        <v>2.3538901977691573</v>
      </c>
      <c r="L176" s="85">
        <f t="shared" ca="1" si="99"/>
        <v>2.3234433858682619</v>
      </c>
      <c r="M176" s="85">
        <f t="shared" ca="1" si="99"/>
        <v>2.2847849017473689</v>
      </c>
      <c r="N176" s="85">
        <f t="shared" ca="1" si="99"/>
        <v>2.261361190723389</v>
      </c>
      <c r="O176" s="85">
        <f t="shared" ca="1" si="99"/>
        <v>2.241266872282953</v>
      </c>
    </row>
    <row r="177" spans="1:15" x14ac:dyDescent="0.2">
      <c r="A177" s="7" t="s">
        <v>54</v>
      </c>
      <c r="B177" s="7"/>
      <c r="C177" s="7"/>
      <c r="D177" s="71">
        <f>'Cost Input'!D122</f>
        <v>900</v>
      </c>
      <c r="E177" s="85">
        <f>'Cost Input'!E122</f>
        <v>0.6</v>
      </c>
      <c r="F177" s="71">
        <f t="shared" ca="1" si="99"/>
        <v>4711.0875170868421</v>
      </c>
      <c r="G177" s="71">
        <f t="shared" ca="1" si="99"/>
        <v>3381.5429465333054</v>
      </c>
      <c r="H177" s="71">
        <f t="shared" ca="1" si="99"/>
        <v>2493.7831418532205</v>
      </c>
      <c r="I177" s="71">
        <f t="shared" ca="1" si="99"/>
        <v>1906.7208714044032</v>
      </c>
      <c r="J177" s="71">
        <f t="shared" ca="1" si="99"/>
        <v>1518.1629401769815</v>
      </c>
      <c r="K177" s="71">
        <f t="shared" ca="1" si="99"/>
        <v>1324.2836909381447</v>
      </c>
      <c r="L177" s="71">
        <f t="shared" ca="1" si="99"/>
        <v>1309.5879016706781</v>
      </c>
      <c r="M177" s="71">
        <f t="shared" ca="1" si="99"/>
        <v>1290.888843925843</v>
      </c>
      <c r="N177" s="71">
        <f t="shared" ca="1" si="99"/>
        <v>1279.5368643813099</v>
      </c>
      <c r="O177" s="71">
        <f t="shared" ca="1" si="99"/>
        <v>1269.7850402712804</v>
      </c>
    </row>
    <row r="178" spans="1:15" x14ac:dyDescent="0.2">
      <c r="A178" s="7" t="s">
        <v>233</v>
      </c>
      <c r="B178" s="7"/>
      <c r="C178" s="7"/>
      <c r="D178" s="71"/>
      <c r="E178" s="85"/>
      <c r="F178" s="66"/>
      <c r="G178" s="66"/>
      <c r="H178" s="66"/>
      <c r="I178" s="66"/>
      <c r="J178" s="66"/>
      <c r="K178" s="66"/>
      <c r="L178" s="66"/>
      <c r="M178" s="66"/>
      <c r="N178" s="66"/>
      <c r="O178" s="66"/>
    </row>
    <row r="179" spans="1:15" x14ac:dyDescent="0.2">
      <c r="A179" s="7" t="s">
        <v>228</v>
      </c>
      <c r="B179" s="7"/>
      <c r="C179" s="7"/>
      <c r="D179" s="71"/>
      <c r="E179" s="85"/>
      <c r="F179" s="86">
        <f t="shared" ref="F179:K179" ca="1" si="100">F174</f>
        <v>15.780875896648563</v>
      </c>
      <c r="G179" s="86">
        <f t="shared" ca="1" si="100"/>
        <v>9.0807279195183899</v>
      </c>
      <c r="H179" s="86">
        <f t="shared" ca="1" si="100"/>
        <v>5.466302047554942</v>
      </c>
      <c r="I179" s="86">
        <f t="shared" ca="1" si="100"/>
        <v>3.4946821769621983</v>
      </c>
      <c r="J179" s="86">
        <f t="shared" ca="1" si="100"/>
        <v>2.3903406312372852</v>
      </c>
      <c r="K179" s="86">
        <f t="shared" ca="1" si="100"/>
        <v>1.9035496191699046</v>
      </c>
      <c r="L179" s="86">
        <f t="shared" ref="L179:O179" ca="1" si="101">L174</f>
        <v>1.8684733508245956</v>
      </c>
      <c r="M179" s="86">
        <f t="shared" ca="1" si="101"/>
        <v>1.8242200730068361</v>
      </c>
      <c r="N179" s="86">
        <f t="shared" ca="1" si="101"/>
        <v>1.7975617662920185</v>
      </c>
      <c r="O179" s="86">
        <f t="shared" ca="1" si="101"/>
        <v>1.7747866827192971</v>
      </c>
    </row>
    <row r="180" spans="1:15" x14ac:dyDescent="0.2">
      <c r="A180" s="7" t="s">
        <v>51</v>
      </c>
      <c r="B180" s="7"/>
      <c r="C180" s="7"/>
      <c r="D180" s="71">
        <f>'Cost Input'!D125</f>
        <v>28800</v>
      </c>
      <c r="E180" s="85">
        <f>'Cost Input'!E125</f>
        <v>0.5</v>
      </c>
      <c r="F180" s="71">
        <f t="shared" ref="F180:O182" ca="1" si="102">$D180*F$179^$E180</f>
        <v>114408.43370886687</v>
      </c>
      <c r="G180" s="71">
        <f t="shared" ca="1" si="102"/>
        <v>86786.62895610898</v>
      </c>
      <c r="H180" s="71">
        <f t="shared" ca="1" si="102"/>
        <v>67334.757520347339</v>
      </c>
      <c r="I180" s="71">
        <f t="shared" ca="1" si="102"/>
        <v>53838.918867855486</v>
      </c>
      <c r="J180" s="71">
        <f t="shared" ca="1" si="102"/>
        <v>44526.892246971984</v>
      </c>
      <c r="K180" s="71">
        <f t="shared" ca="1" si="102"/>
        <v>39735.125470096173</v>
      </c>
      <c r="L180" s="71">
        <f t="shared" ca="1" si="102"/>
        <v>39367.328282574024</v>
      </c>
      <c r="M180" s="71">
        <f t="shared" ca="1" si="102"/>
        <v>38898.343118374469</v>
      </c>
      <c r="N180" s="71">
        <f t="shared" ca="1" si="102"/>
        <v>38613.075912613487</v>
      </c>
      <c r="O180" s="71">
        <f t="shared" ca="1" si="102"/>
        <v>38367.682574201608</v>
      </c>
    </row>
    <row r="181" spans="1:15" x14ac:dyDescent="0.2">
      <c r="A181" s="7" t="s">
        <v>53</v>
      </c>
      <c r="B181" s="7"/>
      <c r="C181" s="7"/>
      <c r="D181" s="85">
        <f>'Cost Input'!D126</f>
        <v>2</v>
      </c>
      <c r="E181" s="85">
        <f>'Cost Input'!E126</f>
        <v>0.7</v>
      </c>
      <c r="F181" s="85">
        <f t="shared" ca="1" si="102"/>
        <v>13.795002032496409</v>
      </c>
      <c r="G181" s="85">
        <f t="shared" ca="1" si="102"/>
        <v>9.3694578115772646</v>
      </c>
      <c r="H181" s="85">
        <f t="shared" ca="1" si="102"/>
        <v>6.5677336738768268</v>
      </c>
      <c r="I181" s="85">
        <f t="shared" ca="1" si="102"/>
        <v>4.8019250284113424</v>
      </c>
      <c r="J181" s="85">
        <f t="shared" ca="1" si="102"/>
        <v>3.6808816271486533</v>
      </c>
      <c r="K181" s="85">
        <f t="shared" ca="1" si="102"/>
        <v>3.1385202636922096</v>
      </c>
      <c r="L181" s="85">
        <f t="shared" ca="1" si="102"/>
        <v>3.0979245144910159</v>
      </c>
      <c r="M181" s="85">
        <f t="shared" ca="1" si="102"/>
        <v>3.046379868996492</v>
      </c>
      <c r="N181" s="85">
        <f t="shared" ca="1" si="102"/>
        <v>3.015148254297852</v>
      </c>
      <c r="O181" s="85">
        <f t="shared" ca="1" si="102"/>
        <v>2.9883558297106037</v>
      </c>
    </row>
    <row r="182" spans="1:15" x14ac:dyDescent="0.2">
      <c r="A182" s="7" t="s">
        <v>54</v>
      </c>
      <c r="B182" s="7"/>
      <c r="C182" s="7"/>
      <c r="D182" s="71">
        <f>'Cost Input'!D127</f>
        <v>300</v>
      </c>
      <c r="E182" s="85">
        <f>'Cost Input'!E127</f>
        <v>0.6</v>
      </c>
      <c r="F182" s="71">
        <f t="shared" ca="1" si="102"/>
        <v>1570.3625056956141</v>
      </c>
      <c r="G182" s="71">
        <f t="shared" ca="1" si="102"/>
        <v>1127.1809821777686</v>
      </c>
      <c r="H182" s="71">
        <f t="shared" ca="1" si="102"/>
        <v>831.2610472844068</v>
      </c>
      <c r="I182" s="71">
        <f t="shared" ca="1" si="102"/>
        <v>635.57362380146776</v>
      </c>
      <c r="J182" s="71">
        <f t="shared" ca="1" si="102"/>
        <v>506.05431339232712</v>
      </c>
      <c r="K182" s="71">
        <f t="shared" ca="1" si="102"/>
        <v>441.42789697938156</v>
      </c>
      <c r="L182" s="71">
        <f t="shared" ca="1" si="102"/>
        <v>436.52930055689274</v>
      </c>
      <c r="M182" s="71">
        <f t="shared" ca="1" si="102"/>
        <v>430.29628130861437</v>
      </c>
      <c r="N182" s="71">
        <f t="shared" ca="1" si="102"/>
        <v>426.51228812710332</v>
      </c>
      <c r="O182" s="71">
        <f t="shared" ca="1" si="102"/>
        <v>423.26168009042681</v>
      </c>
    </row>
    <row r="183" spans="1:15" x14ac:dyDescent="0.2">
      <c r="A183" s="5" t="s">
        <v>293</v>
      </c>
      <c r="B183" s="7"/>
      <c r="C183" s="7"/>
      <c r="D183" s="71"/>
      <c r="E183" s="85"/>
      <c r="F183" s="71"/>
      <c r="G183" s="71"/>
      <c r="H183" s="71"/>
      <c r="I183" s="71"/>
      <c r="J183" s="71"/>
      <c r="K183" s="71"/>
      <c r="L183" s="71"/>
      <c r="M183" s="71"/>
      <c r="N183" s="71"/>
      <c r="O183" s="71"/>
    </row>
    <row r="184" spans="1:15" x14ac:dyDescent="0.2">
      <c r="A184" s="7" t="s">
        <v>228</v>
      </c>
      <c r="B184" s="7"/>
      <c r="C184" s="7"/>
      <c r="D184" s="71"/>
      <c r="E184" s="85"/>
      <c r="F184" s="86">
        <f t="shared" ref="F184:K184" ca="1" si="103">F179</f>
        <v>15.780875896648563</v>
      </c>
      <c r="G184" s="86">
        <f t="shared" ca="1" si="103"/>
        <v>9.0807279195183899</v>
      </c>
      <c r="H184" s="86">
        <f t="shared" ca="1" si="103"/>
        <v>5.466302047554942</v>
      </c>
      <c r="I184" s="86">
        <f t="shared" ca="1" si="103"/>
        <v>3.4946821769621983</v>
      </c>
      <c r="J184" s="86">
        <f t="shared" ca="1" si="103"/>
        <v>2.3903406312372852</v>
      </c>
      <c r="K184" s="86">
        <f t="shared" ca="1" si="103"/>
        <v>1.9035496191699046</v>
      </c>
      <c r="L184" s="86">
        <f t="shared" ref="L184:O184" ca="1" si="104">L179</f>
        <v>1.8684733508245956</v>
      </c>
      <c r="M184" s="86">
        <f t="shared" ca="1" si="104"/>
        <v>1.8242200730068361</v>
      </c>
      <c r="N184" s="86">
        <f t="shared" ca="1" si="104"/>
        <v>1.7975617662920185</v>
      </c>
      <c r="O184" s="86">
        <f t="shared" ca="1" si="104"/>
        <v>1.7747866827192971</v>
      </c>
    </row>
    <row r="185" spans="1:15" x14ac:dyDescent="0.2">
      <c r="A185" s="7" t="s">
        <v>51</v>
      </c>
      <c r="B185" s="7"/>
      <c r="C185" s="7"/>
      <c r="D185" s="71">
        <f>'Cost Input'!D130</f>
        <v>14400</v>
      </c>
      <c r="E185" s="85">
        <f>'Cost Input'!E130</f>
        <v>0.5</v>
      </c>
      <c r="F185" s="71">
        <f t="shared" ref="F185:O187" ca="1" si="105">$D185*F$184^$E185</f>
        <v>57204.216854433434</v>
      </c>
      <c r="G185" s="71">
        <f t="shared" ca="1" si="105"/>
        <v>43393.31447805449</v>
      </c>
      <c r="H185" s="71">
        <f t="shared" ca="1" si="105"/>
        <v>33667.378760173669</v>
      </c>
      <c r="I185" s="71">
        <f t="shared" ca="1" si="105"/>
        <v>26919.459433927743</v>
      </c>
      <c r="J185" s="71">
        <f t="shared" ca="1" si="105"/>
        <v>22263.446123485992</v>
      </c>
      <c r="K185" s="71">
        <f t="shared" ca="1" si="105"/>
        <v>19867.562735048086</v>
      </c>
      <c r="L185" s="71">
        <f t="shared" ca="1" si="105"/>
        <v>19683.664141287012</v>
      </c>
      <c r="M185" s="71">
        <f t="shared" ca="1" si="105"/>
        <v>19449.171559187234</v>
      </c>
      <c r="N185" s="71">
        <f t="shared" ca="1" si="105"/>
        <v>19306.537956306744</v>
      </c>
      <c r="O185" s="71">
        <f t="shared" ca="1" si="105"/>
        <v>19183.841287100804</v>
      </c>
    </row>
    <row r="186" spans="1:15" x14ac:dyDescent="0.2">
      <c r="A186" s="7" t="s">
        <v>53</v>
      </c>
      <c r="B186" s="7"/>
      <c r="C186" s="7"/>
      <c r="D186" s="85">
        <f>'Cost Input'!D131</f>
        <v>1.6</v>
      </c>
      <c r="E186" s="85">
        <f>'Cost Input'!E131</f>
        <v>0.7</v>
      </c>
      <c r="F186" s="85">
        <f t="shared" ca="1" si="105"/>
        <v>11.036001625997129</v>
      </c>
      <c r="G186" s="85">
        <f t="shared" ca="1" si="105"/>
        <v>7.4955662492618123</v>
      </c>
      <c r="H186" s="85">
        <f t="shared" ca="1" si="105"/>
        <v>5.2541869391014622</v>
      </c>
      <c r="I186" s="85">
        <f t="shared" ca="1" si="105"/>
        <v>3.8415400227290739</v>
      </c>
      <c r="J186" s="85">
        <f t="shared" ca="1" si="105"/>
        <v>2.9447053017189226</v>
      </c>
      <c r="K186" s="85">
        <f t="shared" ca="1" si="105"/>
        <v>2.5108162109537679</v>
      </c>
      <c r="L186" s="85">
        <f t="shared" ca="1" si="105"/>
        <v>2.4783396115928129</v>
      </c>
      <c r="M186" s="85">
        <f t="shared" ca="1" si="105"/>
        <v>2.4371038951971937</v>
      </c>
      <c r="N186" s="85">
        <f t="shared" ca="1" si="105"/>
        <v>2.412118603438282</v>
      </c>
      <c r="O186" s="85">
        <f t="shared" ca="1" si="105"/>
        <v>2.3906846637684831</v>
      </c>
    </row>
    <row r="187" spans="1:15" x14ac:dyDescent="0.2">
      <c r="A187" s="7" t="s">
        <v>54</v>
      </c>
      <c r="B187" s="7"/>
      <c r="C187" s="7"/>
      <c r="D187" s="71">
        <f>'Cost Input'!D132</f>
        <v>300</v>
      </c>
      <c r="E187" s="85">
        <f>'Cost Input'!E132</f>
        <v>0.6</v>
      </c>
      <c r="F187" s="71">
        <f t="shared" ca="1" si="105"/>
        <v>1570.3625056956141</v>
      </c>
      <c r="G187" s="71">
        <f t="shared" ca="1" si="105"/>
        <v>1127.1809821777686</v>
      </c>
      <c r="H187" s="71">
        <f t="shared" ca="1" si="105"/>
        <v>831.2610472844068</v>
      </c>
      <c r="I187" s="71">
        <f t="shared" ca="1" si="105"/>
        <v>635.57362380146776</v>
      </c>
      <c r="J187" s="71">
        <f t="shared" ca="1" si="105"/>
        <v>506.05431339232712</v>
      </c>
      <c r="K187" s="71">
        <f t="shared" ca="1" si="105"/>
        <v>441.42789697938156</v>
      </c>
      <c r="L187" s="71">
        <f t="shared" ca="1" si="105"/>
        <v>436.52930055689274</v>
      </c>
      <c r="M187" s="71">
        <f t="shared" ca="1" si="105"/>
        <v>430.29628130861437</v>
      </c>
      <c r="N187" s="71">
        <f t="shared" ca="1" si="105"/>
        <v>426.51228812710332</v>
      </c>
      <c r="O187" s="71">
        <f t="shared" ca="1" si="105"/>
        <v>423.26168009042681</v>
      </c>
    </row>
    <row r="188" spans="1:15" x14ac:dyDescent="0.2">
      <c r="A188" s="5" t="s">
        <v>294</v>
      </c>
      <c r="B188" s="7"/>
      <c r="C188" s="7"/>
      <c r="D188" s="71"/>
      <c r="E188" s="85"/>
      <c r="F188" s="71"/>
      <c r="G188" s="71"/>
      <c r="H188" s="71"/>
      <c r="I188" s="71"/>
      <c r="J188" s="71"/>
      <c r="K188" s="71"/>
      <c r="L188" s="71"/>
      <c r="M188" s="71"/>
      <c r="N188" s="71"/>
      <c r="O188" s="71"/>
    </row>
    <row r="189" spans="1:15" x14ac:dyDescent="0.2">
      <c r="A189" s="7" t="s">
        <v>228</v>
      </c>
      <c r="B189" s="7"/>
      <c r="C189" s="7"/>
      <c r="D189" s="71"/>
      <c r="E189" s="85"/>
      <c r="F189" s="86">
        <f t="shared" ref="F189:K189" si="106">F128</f>
        <v>14.722519510499822</v>
      </c>
      <c r="G189" s="86">
        <f t="shared" si="106"/>
        <v>14.722519510499822</v>
      </c>
      <c r="H189" s="86">
        <f t="shared" si="106"/>
        <v>14.722519510499822</v>
      </c>
      <c r="I189" s="86">
        <f t="shared" si="106"/>
        <v>14.722519510499822</v>
      </c>
      <c r="J189" s="86">
        <f t="shared" si="106"/>
        <v>14.722519510499822</v>
      </c>
      <c r="K189" s="86">
        <f t="shared" si="106"/>
        <v>14.722519510499822</v>
      </c>
      <c r="L189" s="86">
        <f t="shared" ref="L189:O189" si="107">L128</f>
        <v>14.722519510499822</v>
      </c>
      <c r="M189" s="86">
        <f t="shared" si="107"/>
        <v>14.607499826824043</v>
      </c>
      <c r="N189" s="86">
        <f t="shared" si="107"/>
        <v>14.607499826824043</v>
      </c>
      <c r="O189" s="86">
        <f t="shared" si="107"/>
        <v>14.607499826824043</v>
      </c>
    </row>
    <row r="190" spans="1:15" x14ac:dyDescent="0.2">
      <c r="A190" s="7" t="s">
        <v>51</v>
      </c>
      <c r="B190" s="7"/>
      <c r="C190" s="7"/>
      <c r="D190" s="71">
        <f>'Cost Input'!D135</f>
        <v>28800</v>
      </c>
      <c r="E190" s="85">
        <f>'Cost Input'!E135</f>
        <v>0.5</v>
      </c>
      <c r="F190" s="71">
        <f t="shared" ref="F190:O192" si="108">$D190*F$189^$E190</f>
        <v>110505.41426911613</v>
      </c>
      <c r="G190" s="71">
        <f t="shared" si="108"/>
        <v>110505.41426911613</v>
      </c>
      <c r="H190" s="71">
        <f t="shared" si="108"/>
        <v>110505.41426911613</v>
      </c>
      <c r="I190" s="71">
        <f t="shared" si="108"/>
        <v>110505.41426911613</v>
      </c>
      <c r="J190" s="71">
        <f t="shared" si="108"/>
        <v>110505.41426911613</v>
      </c>
      <c r="K190" s="71">
        <f t="shared" si="108"/>
        <v>110505.41426911613</v>
      </c>
      <c r="L190" s="71">
        <f t="shared" si="108"/>
        <v>110505.41426911613</v>
      </c>
      <c r="M190" s="71">
        <f t="shared" si="108"/>
        <v>110072.90609573699</v>
      </c>
      <c r="N190" s="71">
        <f t="shared" si="108"/>
        <v>110072.90609573699</v>
      </c>
      <c r="O190" s="71">
        <f t="shared" si="108"/>
        <v>110072.90609573699</v>
      </c>
    </row>
    <row r="191" spans="1:15" x14ac:dyDescent="0.2">
      <c r="A191" s="7" t="s">
        <v>53</v>
      </c>
      <c r="B191" s="7"/>
      <c r="C191" s="7"/>
      <c r="D191" s="85">
        <f>'Cost Input'!D136</f>
        <v>1.5</v>
      </c>
      <c r="E191" s="85">
        <f>'Cost Input'!E136</f>
        <v>0.7</v>
      </c>
      <c r="F191" s="85">
        <f t="shared" si="108"/>
        <v>9.8555021274070782</v>
      </c>
      <c r="G191" s="85">
        <f t="shared" si="108"/>
        <v>9.8555021274070782</v>
      </c>
      <c r="H191" s="85">
        <f t="shared" si="108"/>
        <v>9.8555021274070782</v>
      </c>
      <c r="I191" s="85">
        <f t="shared" si="108"/>
        <v>9.8555021274070782</v>
      </c>
      <c r="J191" s="85">
        <f t="shared" si="108"/>
        <v>9.8555021274070782</v>
      </c>
      <c r="K191" s="85">
        <f t="shared" si="108"/>
        <v>9.8555021274070782</v>
      </c>
      <c r="L191" s="85">
        <f t="shared" si="108"/>
        <v>9.8555021274070782</v>
      </c>
      <c r="M191" s="85">
        <f t="shared" si="108"/>
        <v>9.8015414744846403</v>
      </c>
      <c r="N191" s="85">
        <f t="shared" si="108"/>
        <v>9.8015414744846403</v>
      </c>
      <c r="O191" s="85">
        <f t="shared" si="108"/>
        <v>9.8015414744846403</v>
      </c>
    </row>
    <row r="192" spans="1:15" x14ac:dyDescent="0.2">
      <c r="A192" s="7" t="s">
        <v>54</v>
      </c>
      <c r="B192" s="7"/>
      <c r="C192" s="7"/>
      <c r="D192" s="71">
        <f>'Cost Input'!D137</f>
        <v>300</v>
      </c>
      <c r="E192" s="85">
        <f>'Cost Input'!E137</f>
        <v>0.6</v>
      </c>
      <c r="F192" s="71">
        <f t="shared" si="108"/>
        <v>1506.2967457609923</v>
      </c>
      <c r="G192" s="71">
        <f t="shared" si="108"/>
        <v>1506.2967457609923</v>
      </c>
      <c r="H192" s="71">
        <f t="shared" si="108"/>
        <v>1506.2967457609923</v>
      </c>
      <c r="I192" s="71">
        <f t="shared" si="108"/>
        <v>1506.2967457609923</v>
      </c>
      <c r="J192" s="71">
        <f t="shared" si="108"/>
        <v>1506.2967457609923</v>
      </c>
      <c r="K192" s="71">
        <f t="shared" si="108"/>
        <v>1506.2967457609923</v>
      </c>
      <c r="L192" s="71">
        <f t="shared" si="108"/>
        <v>1506.2967457609923</v>
      </c>
      <c r="M192" s="71">
        <f t="shared" si="108"/>
        <v>1499.2249069063566</v>
      </c>
      <c r="N192" s="71">
        <f t="shared" si="108"/>
        <v>1499.2249069063566</v>
      </c>
      <c r="O192" s="71">
        <f t="shared" si="108"/>
        <v>1499.2249069063566</v>
      </c>
    </row>
    <row r="193" spans="1:15" x14ac:dyDescent="0.2">
      <c r="A193" s="5" t="s">
        <v>362</v>
      </c>
      <c r="B193" s="7"/>
      <c r="C193" s="7"/>
      <c r="D193" s="71"/>
      <c r="E193" s="85"/>
      <c r="F193" s="71"/>
      <c r="G193" s="71"/>
      <c r="H193" s="71"/>
      <c r="I193" s="71"/>
      <c r="J193" s="71"/>
      <c r="K193" s="71"/>
      <c r="L193" s="71"/>
      <c r="M193" s="71"/>
      <c r="N193" s="71"/>
      <c r="O193" s="71"/>
    </row>
    <row r="194" spans="1:15" x14ac:dyDescent="0.2">
      <c r="A194" s="7" t="s">
        <v>273</v>
      </c>
      <c r="B194" s="7"/>
      <c r="C194" s="7"/>
      <c r="D194" s="71"/>
      <c r="E194" s="85"/>
      <c r="F194" s="66"/>
      <c r="G194" s="66"/>
      <c r="H194" s="66"/>
      <c r="I194" s="66"/>
      <c r="J194" s="66"/>
      <c r="K194" s="66"/>
      <c r="L194" s="66"/>
      <c r="M194" s="66"/>
      <c r="N194" s="66"/>
      <c r="O194" s="66"/>
    </row>
    <row r="195" spans="1:15" x14ac:dyDescent="0.2">
      <c r="A195" s="7" t="s">
        <v>228</v>
      </c>
      <c r="C195" s="7"/>
      <c r="D195" s="71"/>
      <c r="E195" s="85"/>
      <c r="F195" s="86">
        <f>F8/'Cost Input'!$J21</f>
        <v>4</v>
      </c>
      <c r="G195" s="86">
        <f>G8/'Cost Input'!$J21</f>
        <v>4</v>
      </c>
      <c r="H195" s="86">
        <f>H8/'Cost Input'!$J21</f>
        <v>4</v>
      </c>
      <c r="I195" s="86">
        <f>I8/'Cost Input'!$J21</f>
        <v>4</v>
      </c>
      <c r="J195" s="86">
        <f>J8/'Cost Input'!$J21</f>
        <v>4</v>
      </c>
      <c r="K195" s="86">
        <f>K8/'Cost Input'!$J21</f>
        <v>4</v>
      </c>
      <c r="L195" s="86">
        <f>L8/'Cost Input'!$J21</f>
        <v>4</v>
      </c>
      <c r="M195" s="86">
        <f>M8/'Cost Input'!$J21</f>
        <v>4</v>
      </c>
      <c r="N195" s="86">
        <f>N8/'Cost Input'!$J21</f>
        <v>4</v>
      </c>
      <c r="O195" s="86">
        <f>O8/'Cost Input'!$J21</f>
        <v>4</v>
      </c>
    </row>
    <row r="196" spans="1:15" x14ac:dyDescent="0.2">
      <c r="A196" s="7" t="s">
        <v>223</v>
      </c>
      <c r="B196" s="7"/>
      <c r="C196" s="7"/>
      <c r="D196" s="71">
        <f>'Cost Input'!I75</f>
        <v>40</v>
      </c>
      <c r="E196" s="85">
        <f>'Cost Input'!J75</f>
        <v>0.3</v>
      </c>
      <c r="F196" s="183">
        <f ca="1">'Battery Design'!F77</f>
        <v>203.05582623187675</v>
      </c>
      <c r="G196" s="183">
        <f ca="1">'Battery Design'!G77</f>
        <v>202.49260080562215</v>
      </c>
      <c r="H196" s="183">
        <f ca="1">'Battery Design'!H77</f>
        <v>201.68382052418207</v>
      </c>
      <c r="I196" s="183">
        <f ca="1">'Battery Design'!I77</f>
        <v>200.58799905927421</v>
      </c>
      <c r="J196" s="183">
        <f ca="1">'Battery Design'!J77</f>
        <v>201.87162508614287</v>
      </c>
      <c r="K196" s="183">
        <f ca="1">'Battery Design'!K77</f>
        <v>200.26495485088896</v>
      </c>
      <c r="L196" s="183">
        <f ca="1">'Battery Design'!L77</f>
        <v>196.57471886976748</v>
      </c>
      <c r="M196" s="183">
        <f ca="1">'Battery Design'!M77</f>
        <v>191.91900588234245</v>
      </c>
      <c r="N196" s="183">
        <f ca="1">'Battery Design'!N77</f>
        <v>189.11439047495833</v>
      </c>
      <c r="O196" s="183">
        <f ca="1">'Battery Design'!O77</f>
        <v>186.71831367323819</v>
      </c>
    </row>
    <row r="197" spans="1:15" x14ac:dyDescent="0.2">
      <c r="A197" s="7" t="s">
        <v>51</v>
      </c>
      <c r="B197" s="7"/>
      <c r="C197" s="7"/>
      <c r="D197" s="71">
        <f>'Cost Input'!I76</f>
        <v>36000</v>
      </c>
      <c r="E197" s="85">
        <f>'Cost Input'!J76</f>
        <v>0.7</v>
      </c>
      <c r="F197" s="71">
        <f t="shared" ref="F197:O197" si="109">$D197*F$195^$E197</f>
        <v>95004.569575648376</v>
      </c>
      <c r="G197" s="71">
        <f t="shared" si="109"/>
        <v>95004.569575648376</v>
      </c>
      <c r="H197" s="71">
        <f t="shared" si="109"/>
        <v>95004.569575648376</v>
      </c>
      <c r="I197" s="71">
        <f t="shared" si="109"/>
        <v>95004.569575648376</v>
      </c>
      <c r="J197" s="71">
        <f t="shared" si="109"/>
        <v>95004.569575648376</v>
      </c>
      <c r="K197" s="71">
        <f t="shared" si="109"/>
        <v>95004.569575648376</v>
      </c>
      <c r="L197" s="71">
        <f t="shared" si="109"/>
        <v>95004.569575648376</v>
      </c>
      <c r="M197" s="71">
        <f t="shared" si="109"/>
        <v>95004.569575648376</v>
      </c>
      <c r="N197" s="71">
        <f t="shared" si="109"/>
        <v>95004.569575648376</v>
      </c>
      <c r="O197" s="71">
        <f t="shared" si="109"/>
        <v>95004.569575648376</v>
      </c>
    </row>
    <row r="198" spans="1:15" x14ac:dyDescent="0.2">
      <c r="A198" s="7" t="s">
        <v>53</v>
      </c>
      <c r="B198" s="7"/>
      <c r="C198" s="7"/>
      <c r="D198" s="85">
        <f>'Cost Input'!I77</f>
        <v>4</v>
      </c>
      <c r="E198" s="85">
        <f>'Cost Input'!J77</f>
        <v>0.8</v>
      </c>
      <c r="F198" s="85">
        <f t="shared" ref="F198:K198" ca="1" si="110">$D198*F$195^$E198*(F196/$D196)^$E196</f>
        <v>19.741248870215546</v>
      </c>
      <c r="G198" s="85">
        <f t="shared" ca="1" si="110"/>
        <v>19.724805730298424</v>
      </c>
      <c r="H198" s="85">
        <f t="shared" ca="1" si="110"/>
        <v>19.701137627005707</v>
      </c>
      <c r="I198" s="85">
        <f t="shared" ca="1" si="110"/>
        <v>19.668963338335075</v>
      </c>
      <c r="J198" s="85">
        <f t="shared" ca="1" si="110"/>
        <v>19.706639444075002</v>
      </c>
      <c r="K198" s="85">
        <f t="shared" ca="1" si="110"/>
        <v>19.659454998570343</v>
      </c>
      <c r="L198" s="85">
        <f t="shared" ref="L198:O198" ca="1" si="111">$D198*L$195^$E198*(L196/$D196)^$E196</f>
        <v>19.550068614178866</v>
      </c>
      <c r="M198" s="85">
        <f t="shared" ca="1" si="111"/>
        <v>19.409993171559098</v>
      </c>
      <c r="N198" s="85">
        <f t="shared" ca="1" si="111"/>
        <v>19.324459701486624</v>
      </c>
      <c r="O198" s="85">
        <f t="shared" ca="1" si="111"/>
        <v>19.25067942540085</v>
      </c>
    </row>
    <row r="199" spans="1:15" x14ac:dyDescent="0.2">
      <c r="A199" s="7" t="s">
        <v>54</v>
      </c>
      <c r="B199" s="7"/>
      <c r="C199" s="7"/>
      <c r="D199" s="71">
        <f>'Cost Input'!I78</f>
        <v>600</v>
      </c>
      <c r="E199" s="85">
        <f>'Cost Input'!J78</f>
        <v>0.8</v>
      </c>
      <c r="F199" s="71">
        <f t="shared" ref="F199:O199" si="112">$D199*F$195^$E199</f>
        <v>1818.8598798124776</v>
      </c>
      <c r="G199" s="71">
        <f t="shared" si="112"/>
        <v>1818.8598798124776</v>
      </c>
      <c r="H199" s="71">
        <f t="shared" si="112"/>
        <v>1818.8598798124776</v>
      </c>
      <c r="I199" s="71">
        <f t="shared" si="112"/>
        <v>1818.8598798124776</v>
      </c>
      <c r="J199" s="71">
        <f t="shared" si="112"/>
        <v>1818.8598798124776</v>
      </c>
      <c r="K199" s="71">
        <f t="shared" si="112"/>
        <v>1818.8598798124776</v>
      </c>
      <c r="L199" s="71">
        <f t="shared" si="112"/>
        <v>1818.8598798124776</v>
      </c>
      <c r="M199" s="71">
        <f t="shared" si="112"/>
        <v>1818.8598798124776</v>
      </c>
      <c r="N199" s="71">
        <f t="shared" si="112"/>
        <v>1818.8598798124776</v>
      </c>
      <c r="O199" s="71">
        <f t="shared" si="112"/>
        <v>1818.8598798124776</v>
      </c>
    </row>
    <row r="200" spans="1:15" x14ac:dyDescent="0.2">
      <c r="A200" s="7" t="s">
        <v>122</v>
      </c>
      <c r="B200" s="7"/>
      <c r="C200" s="7"/>
      <c r="D200" s="71"/>
      <c r="E200" s="85"/>
      <c r="F200" s="66"/>
      <c r="G200" s="66"/>
      <c r="H200" s="66"/>
      <c r="I200" s="66"/>
      <c r="J200" s="66"/>
      <c r="K200" s="66"/>
      <c r="L200" s="66"/>
      <c r="M200" s="66"/>
      <c r="N200" s="66"/>
      <c r="O200" s="66"/>
    </row>
    <row r="201" spans="1:15" x14ac:dyDescent="0.2">
      <c r="A201" s="7" t="s">
        <v>228</v>
      </c>
      <c r="B201" s="7"/>
      <c r="C201" s="7"/>
      <c r="D201" s="71"/>
      <c r="E201" s="85"/>
      <c r="F201" s="86">
        <f t="shared" ref="F201:K201" si="113">F195</f>
        <v>4</v>
      </c>
      <c r="G201" s="86">
        <f t="shared" si="113"/>
        <v>4</v>
      </c>
      <c r="H201" s="86">
        <f t="shared" si="113"/>
        <v>4</v>
      </c>
      <c r="I201" s="86">
        <f t="shared" si="113"/>
        <v>4</v>
      </c>
      <c r="J201" s="86">
        <f t="shared" si="113"/>
        <v>4</v>
      </c>
      <c r="K201" s="86">
        <f t="shared" si="113"/>
        <v>4</v>
      </c>
      <c r="L201" s="86">
        <f t="shared" ref="L201:O201" si="114">L195</f>
        <v>4</v>
      </c>
      <c r="M201" s="86">
        <f t="shared" si="114"/>
        <v>4</v>
      </c>
      <c r="N201" s="86">
        <f t="shared" si="114"/>
        <v>4</v>
      </c>
      <c r="O201" s="86">
        <f t="shared" si="114"/>
        <v>4</v>
      </c>
    </row>
    <row r="202" spans="1:15" x14ac:dyDescent="0.2">
      <c r="A202" s="7" t="s">
        <v>51</v>
      </c>
      <c r="B202" s="7"/>
      <c r="C202" s="7"/>
      <c r="D202" s="71">
        <f>'Cost Input'!I81</f>
        <v>36000</v>
      </c>
      <c r="E202" s="85">
        <f>'Cost Input'!J81</f>
        <v>0.7</v>
      </c>
      <c r="F202" s="71">
        <f t="shared" ref="F202:O204" si="115">$D202*F$201^$E202</f>
        <v>95004.569575648376</v>
      </c>
      <c r="G202" s="71">
        <f t="shared" si="115"/>
        <v>95004.569575648376</v>
      </c>
      <c r="H202" s="71">
        <f t="shared" si="115"/>
        <v>95004.569575648376</v>
      </c>
      <c r="I202" s="71">
        <f t="shared" si="115"/>
        <v>95004.569575648376</v>
      </c>
      <c r="J202" s="71">
        <f t="shared" si="115"/>
        <v>95004.569575648376</v>
      </c>
      <c r="K202" s="71">
        <f t="shared" si="115"/>
        <v>95004.569575648376</v>
      </c>
      <c r="L202" s="71">
        <f t="shared" si="115"/>
        <v>95004.569575648376</v>
      </c>
      <c r="M202" s="71">
        <f t="shared" si="115"/>
        <v>95004.569575648376</v>
      </c>
      <c r="N202" s="71">
        <f t="shared" si="115"/>
        <v>95004.569575648376</v>
      </c>
      <c r="O202" s="71">
        <f t="shared" si="115"/>
        <v>95004.569575648376</v>
      </c>
    </row>
    <row r="203" spans="1:15" x14ac:dyDescent="0.2">
      <c r="A203" s="7" t="s">
        <v>53</v>
      </c>
      <c r="B203" s="7"/>
      <c r="C203" s="7"/>
      <c r="D203" s="85">
        <f>'Cost Input'!I82</f>
        <v>4</v>
      </c>
      <c r="E203" s="85">
        <f>'Cost Input'!J82</f>
        <v>0.8</v>
      </c>
      <c r="F203" s="85">
        <f t="shared" si="115"/>
        <v>12.125732532083184</v>
      </c>
      <c r="G203" s="85">
        <f t="shared" si="115"/>
        <v>12.125732532083184</v>
      </c>
      <c r="H203" s="85">
        <f t="shared" si="115"/>
        <v>12.125732532083184</v>
      </c>
      <c r="I203" s="85">
        <f t="shared" si="115"/>
        <v>12.125732532083184</v>
      </c>
      <c r="J203" s="85">
        <f t="shared" si="115"/>
        <v>12.125732532083184</v>
      </c>
      <c r="K203" s="85">
        <f t="shared" si="115"/>
        <v>12.125732532083184</v>
      </c>
      <c r="L203" s="85">
        <f t="shared" si="115"/>
        <v>12.125732532083184</v>
      </c>
      <c r="M203" s="85">
        <f t="shared" si="115"/>
        <v>12.125732532083184</v>
      </c>
      <c r="N203" s="85">
        <f t="shared" si="115"/>
        <v>12.125732532083184</v>
      </c>
      <c r="O203" s="85">
        <f t="shared" si="115"/>
        <v>12.125732532083184</v>
      </c>
    </row>
    <row r="204" spans="1:15" x14ac:dyDescent="0.2">
      <c r="A204" s="7" t="s">
        <v>54</v>
      </c>
      <c r="B204" s="7"/>
      <c r="C204" s="7"/>
      <c r="D204" s="71">
        <f>'Cost Input'!I83</f>
        <v>600</v>
      </c>
      <c r="E204" s="85">
        <f>'Cost Input'!J83</f>
        <v>0.8</v>
      </c>
      <c r="F204" s="71">
        <f t="shared" si="115"/>
        <v>1818.8598798124776</v>
      </c>
      <c r="G204" s="71">
        <f t="shared" si="115"/>
        <v>1818.8598798124776</v>
      </c>
      <c r="H204" s="71">
        <f t="shared" si="115"/>
        <v>1818.8598798124776</v>
      </c>
      <c r="I204" s="71">
        <f t="shared" si="115"/>
        <v>1818.8598798124776</v>
      </c>
      <c r="J204" s="71">
        <f t="shared" si="115"/>
        <v>1818.8598798124776</v>
      </c>
      <c r="K204" s="71">
        <f t="shared" si="115"/>
        <v>1818.8598798124776</v>
      </c>
      <c r="L204" s="71">
        <f t="shared" si="115"/>
        <v>1818.8598798124776</v>
      </c>
      <c r="M204" s="71">
        <f t="shared" si="115"/>
        <v>1818.8598798124776</v>
      </c>
      <c r="N204" s="71">
        <f t="shared" si="115"/>
        <v>1818.8598798124776</v>
      </c>
      <c r="O204" s="71">
        <f t="shared" si="115"/>
        <v>1818.8598798124776</v>
      </c>
    </row>
    <row r="205" spans="1:15" x14ac:dyDescent="0.2">
      <c r="A205" s="7" t="s">
        <v>222</v>
      </c>
      <c r="B205" s="7"/>
      <c r="C205" s="7"/>
      <c r="D205" s="71"/>
      <c r="E205" s="85"/>
      <c r="F205" s="66"/>
      <c r="G205" s="66"/>
      <c r="H205" s="66"/>
      <c r="I205" s="66"/>
      <c r="J205" s="66"/>
      <c r="K205" s="66"/>
      <c r="L205" s="66"/>
      <c r="M205" s="66"/>
      <c r="N205" s="66"/>
      <c r="O205" s="66"/>
    </row>
    <row r="206" spans="1:15" x14ac:dyDescent="0.2">
      <c r="A206" s="7" t="s">
        <v>228</v>
      </c>
      <c r="B206" s="7"/>
      <c r="C206" s="7"/>
      <c r="D206" s="71"/>
      <c r="E206" s="85"/>
      <c r="F206" s="86">
        <f t="shared" ref="F206:K206" si="116">F201</f>
        <v>4</v>
      </c>
      <c r="G206" s="86">
        <f t="shared" si="116"/>
        <v>4</v>
      </c>
      <c r="H206" s="86">
        <f t="shared" si="116"/>
        <v>4</v>
      </c>
      <c r="I206" s="86">
        <f t="shared" si="116"/>
        <v>4</v>
      </c>
      <c r="J206" s="86">
        <f t="shared" si="116"/>
        <v>4</v>
      </c>
      <c r="K206" s="86">
        <f t="shared" si="116"/>
        <v>4</v>
      </c>
      <c r="L206" s="86">
        <f t="shared" ref="L206:O206" si="117">L201</f>
        <v>4</v>
      </c>
      <c r="M206" s="86">
        <f t="shared" si="117"/>
        <v>4</v>
      </c>
      <c r="N206" s="86">
        <f t="shared" si="117"/>
        <v>4</v>
      </c>
      <c r="O206" s="86">
        <f t="shared" si="117"/>
        <v>4</v>
      </c>
    </row>
    <row r="207" spans="1:15" x14ac:dyDescent="0.2">
      <c r="A207" s="7" t="s">
        <v>51</v>
      </c>
      <c r="B207" s="7"/>
      <c r="C207" s="7"/>
      <c r="D207" s="71">
        <f>'Cost Input'!I86</f>
        <v>21600</v>
      </c>
      <c r="E207" s="85">
        <f>'Cost Input'!J86</f>
        <v>0.5</v>
      </c>
      <c r="F207" s="71">
        <f t="shared" ref="F207:O209" si="118">$D207*F$206^$E207</f>
        <v>43200</v>
      </c>
      <c r="G207" s="71">
        <f t="shared" si="118"/>
        <v>43200</v>
      </c>
      <c r="H207" s="71">
        <f t="shared" si="118"/>
        <v>43200</v>
      </c>
      <c r="I207" s="71">
        <f t="shared" si="118"/>
        <v>43200</v>
      </c>
      <c r="J207" s="71">
        <f t="shared" si="118"/>
        <v>43200</v>
      </c>
      <c r="K207" s="71">
        <f t="shared" si="118"/>
        <v>43200</v>
      </c>
      <c r="L207" s="71">
        <f t="shared" si="118"/>
        <v>43200</v>
      </c>
      <c r="M207" s="71">
        <f t="shared" si="118"/>
        <v>43200</v>
      </c>
      <c r="N207" s="71">
        <f t="shared" si="118"/>
        <v>43200</v>
      </c>
      <c r="O207" s="71">
        <f t="shared" si="118"/>
        <v>43200</v>
      </c>
    </row>
    <row r="208" spans="1:15" x14ac:dyDescent="0.2">
      <c r="A208" s="7" t="s">
        <v>53</v>
      </c>
      <c r="B208" s="7"/>
      <c r="C208" s="7"/>
      <c r="D208" s="85">
        <f>'Cost Input'!I87</f>
        <v>3</v>
      </c>
      <c r="E208" s="85">
        <f>'Cost Input'!J87</f>
        <v>0.7</v>
      </c>
      <c r="F208" s="85">
        <f t="shared" si="118"/>
        <v>7.9170474646373652</v>
      </c>
      <c r="G208" s="85">
        <f t="shared" si="118"/>
        <v>7.9170474646373652</v>
      </c>
      <c r="H208" s="85">
        <f t="shared" si="118"/>
        <v>7.9170474646373652</v>
      </c>
      <c r="I208" s="85">
        <f t="shared" si="118"/>
        <v>7.9170474646373652</v>
      </c>
      <c r="J208" s="85">
        <f t="shared" si="118"/>
        <v>7.9170474646373652</v>
      </c>
      <c r="K208" s="85">
        <f t="shared" si="118"/>
        <v>7.9170474646373652</v>
      </c>
      <c r="L208" s="85">
        <f t="shared" si="118"/>
        <v>7.9170474646373652</v>
      </c>
      <c r="M208" s="85">
        <f t="shared" si="118"/>
        <v>7.9170474646373652</v>
      </c>
      <c r="N208" s="85">
        <f t="shared" si="118"/>
        <v>7.9170474646373652</v>
      </c>
      <c r="O208" s="85">
        <f t="shared" si="118"/>
        <v>7.9170474646373652</v>
      </c>
    </row>
    <row r="209" spans="1:15" x14ac:dyDescent="0.2">
      <c r="A209" s="7" t="s">
        <v>54</v>
      </c>
      <c r="B209" s="7"/>
      <c r="C209" s="7"/>
      <c r="D209" s="71">
        <f>'Cost Input'!I88</f>
        <v>600</v>
      </c>
      <c r="E209" s="85">
        <f>'Cost Input'!J88</f>
        <v>0.6</v>
      </c>
      <c r="F209" s="71">
        <f t="shared" si="118"/>
        <v>1378.4380259964421</v>
      </c>
      <c r="G209" s="71">
        <f t="shared" si="118"/>
        <v>1378.4380259964421</v>
      </c>
      <c r="H209" s="71">
        <f t="shared" si="118"/>
        <v>1378.4380259964421</v>
      </c>
      <c r="I209" s="71">
        <f t="shared" si="118"/>
        <v>1378.4380259964421</v>
      </c>
      <c r="J209" s="71">
        <f t="shared" si="118"/>
        <v>1378.4380259964421</v>
      </c>
      <c r="K209" s="71">
        <f t="shared" si="118"/>
        <v>1378.4380259964421</v>
      </c>
      <c r="L209" s="71">
        <f t="shared" si="118"/>
        <v>1378.4380259964421</v>
      </c>
      <c r="M209" s="71">
        <f t="shared" si="118"/>
        <v>1378.4380259964421</v>
      </c>
      <c r="N209" s="71">
        <f t="shared" si="118"/>
        <v>1378.4380259964421</v>
      </c>
      <c r="O209" s="71">
        <f t="shared" si="118"/>
        <v>1378.4380259964421</v>
      </c>
    </row>
    <row r="210" spans="1:15" x14ac:dyDescent="0.2">
      <c r="A210" s="7" t="s">
        <v>123</v>
      </c>
      <c r="B210" s="7"/>
      <c r="C210" s="7"/>
      <c r="D210" s="71"/>
      <c r="E210" s="85"/>
      <c r="F210" s="66"/>
      <c r="G210" s="66"/>
      <c r="H210" s="66"/>
      <c r="I210" s="66"/>
      <c r="J210" s="66"/>
      <c r="K210" s="66"/>
      <c r="L210" s="66"/>
      <c r="M210" s="66"/>
      <c r="N210" s="66"/>
      <c r="O210" s="66"/>
    </row>
    <row r="211" spans="1:15" x14ac:dyDescent="0.2">
      <c r="A211" s="7" t="s">
        <v>228</v>
      </c>
      <c r="B211" s="7"/>
      <c r="C211" s="7"/>
      <c r="D211" s="71"/>
      <c r="E211" s="85"/>
      <c r="F211" s="86">
        <f t="shared" ref="F211:K211" si="119">F206</f>
        <v>4</v>
      </c>
      <c r="G211" s="86">
        <f t="shared" si="119"/>
        <v>4</v>
      </c>
      <c r="H211" s="86">
        <f t="shared" si="119"/>
        <v>4</v>
      </c>
      <c r="I211" s="86">
        <f t="shared" si="119"/>
        <v>4</v>
      </c>
      <c r="J211" s="86">
        <f t="shared" si="119"/>
        <v>4</v>
      </c>
      <c r="K211" s="86">
        <f t="shared" si="119"/>
        <v>4</v>
      </c>
      <c r="L211" s="86">
        <f t="shared" ref="L211:O211" si="120">L206</f>
        <v>4</v>
      </c>
      <c r="M211" s="86">
        <f t="shared" si="120"/>
        <v>4</v>
      </c>
      <c r="N211" s="86">
        <f t="shared" si="120"/>
        <v>4</v>
      </c>
      <c r="O211" s="86">
        <f t="shared" si="120"/>
        <v>4</v>
      </c>
    </row>
    <row r="212" spans="1:15" x14ac:dyDescent="0.2">
      <c r="A212" s="7" t="s">
        <v>51</v>
      </c>
      <c r="B212" s="7"/>
      <c r="C212" s="7"/>
      <c r="D212" s="71">
        <f>'Cost Input'!I91</f>
        <v>36000</v>
      </c>
      <c r="E212" s="85">
        <f>'Cost Input'!J91</f>
        <v>0.5</v>
      </c>
      <c r="F212" s="71">
        <f t="shared" ref="F212:O214" si="121">$D212*F$211^$E212</f>
        <v>72000</v>
      </c>
      <c r="G212" s="71">
        <f t="shared" si="121"/>
        <v>72000</v>
      </c>
      <c r="H212" s="71">
        <f t="shared" si="121"/>
        <v>72000</v>
      </c>
      <c r="I212" s="71">
        <f t="shared" si="121"/>
        <v>72000</v>
      </c>
      <c r="J212" s="71">
        <f t="shared" si="121"/>
        <v>72000</v>
      </c>
      <c r="K212" s="71">
        <f t="shared" si="121"/>
        <v>72000</v>
      </c>
      <c r="L212" s="71">
        <f t="shared" si="121"/>
        <v>72000</v>
      </c>
      <c r="M212" s="71">
        <f t="shared" si="121"/>
        <v>72000</v>
      </c>
      <c r="N212" s="71">
        <f t="shared" si="121"/>
        <v>72000</v>
      </c>
      <c r="O212" s="71">
        <f t="shared" si="121"/>
        <v>72000</v>
      </c>
    </row>
    <row r="213" spans="1:15" x14ac:dyDescent="0.2">
      <c r="A213" s="7" t="s">
        <v>53</v>
      </c>
      <c r="B213" s="7"/>
      <c r="C213" s="7"/>
      <c r="D213" s="85">
        <f>'Cost Input'!I92</f>
        <v>5</v>
      </c>
      <c r="E213" s="85">
        <f>'Cost Input'!J92</f>
        <v>0.7</v>
      </c>
      <c r="F213" s="85">
        <f t="shared" si="121"/>
        <v>13.195079107728942</v>
      </c>
      <c r="G213" s="85">
        <f t="shared" si="121"/>
        <v>13.195079107728942</v>
      </c>
      <c r="H213" s="85">
        <f t="shared" si="121"/>
        <v>13.195079107728942</v>
      </c>
      <c r="I213" s="85">
        <f t="shared" si="121"/>
        <v>13.195079107728942</v>
      </c>
      <c r="J213" s="85">
        <f t="shared" si="121"/>
        <v>13.195079107728942</v>
      </c>
      <c r="K213" s="85">
        <f t="shared" si="121"/>
        <v>13.195079107728942</v>
      </c>
      <c r="L213" s="85">
        <f t="shared" si="121"/>
        <v>13.195079107728942</v>
      </c>
      <c r="M213" s="85">
        <f t="shared" si="121"/>
        <v>13.195079107728942</v>
      </c>
      <c r="N213" s="85">
        <f t="shared" si="121"/>
        <v>13.195079107728942</v>
      </c>
      <c r="O213" s="85">
        <f t="shared" si="121"/>
        <v>13.195079107728942</v>
      </c>
    </row>
    <row r="214" spans="1:15" x14ac:dyDescent="0.2">
      <c r="A214" s="7" t="s">
        <v>54</v>
      </c>
      <c r="B214" s="7"/>
      <c r="C214" s="7"/>
      <c r="D214" s="71">
        <f>'Cost Input'!I93</f>
        <v>900</v>
      </c>
      <c r="E214" s="85">
        <f>'Cost Input'!J93</f>
        <v>0.6</v>
      </c>
      <c r="F214" s="71">
        <f t="shared" si="121"/>
        <v>2067.6570389946633</v>
      </c>
      <c r="G214" s="71">
        <f t="shared" si="121"/>
        <v>2067.6570389946633</v>
      </c>
      <c r="H214" s="71">
        <f t="shared" si="121"/>
        <v>2067.6570389946633</v>
      </c>
      <c r="I214" s="71">
        <f t="shared" si="121"/>
        <v>2067.6570389946633</v>
      </c>
      <c r="J214" s="71">
        <f t="shared" si="121"/>
        <v>2067.6570389946633</v>
      </c>
      <c r="K214" s="71">
        <f t="shared" si="121"/>
        <v>2067.6570389946633</v>
      </c>
      <c r="L214" s="71">
        <f t="shared" si="121"/>
        <v>2067.6570389946633</v>
      </c>
      <c r="M214" s="71">
        <f t="shared" si="121"/>
        <v>2067.6570389946633</v>
      </c>
      <c r="N214" s="71">
        <f t="shared" si="121"/>
        <v>2067.6570389946633</v>
      </c>
      <c r="O214" s="71">
        <f t="shared" si="121"/>
        <v>2067.6570389946633</v>
      </c>
    </row>
    <row r="215" spans="1:15" x14ac:dyDescent="0.2">
      <c r="A215" s="7" t="s">
        <v>297</v>
      </c>
      <c r="B215" s="7"/>
      <c r="C215" s="7"/>
      <c r="D215" s="71"/>
      <c r="E215" s="85"/>
      <c r="F215" s="71"/>
      <c r="G215" s="71"/>
      <c r="H215" s="71"/>
      <c r="I215" s="71"/>
      <c r="J215" s="71"/>
      <c r="K215" s="71"/>
      <c r="L215" s="71"/>
      <c r="M215" s="71"/>
      <c r="N215" s="71"/>
      <c r="O215" s="71"/>
    </row>
    <row r="216" spans="1:15" x14ac:dyDescent="0.2">
      <c r="A216" s="7" t="s">
        <v>228</v>
      </c>
      <c r="B216" s="7"/>
      <c r="C216" s="7"/>
      <c r="D216" s="71"/>
      <c r="E216" s="85"/>
      <c r="F216" s="86">
        <f ca="1">F13/'Cost Input'!$J27</f>
        <v>3.5390434874727119</v>
      </c>
      <c r="G216" s="86">
        <f ca="1">G13/'Cost Input'!$J27</f>
        <v>3.2066573448386686</v>
      </c>
      <c r="H216" s="86">
        <f ca="1">H13/'Cost Input'!$J27</f>
        <v>2.984717393668666</v>
      </c>
      <c r="I216" s="86">
        <f ca="1">I13/'Cost Input'!$J27</f>
        <v>2.83795182605646</v>
      </c>
      <c r="J216" s="86">
        <f ca="1">J13/'Cost Input'!$J27</f>
        <v>2.7408123432496585</v>
      </c>
      <c r="K216" s="86">
        <f ca="1">K13/'Cost Input'!$J27</f>
        <v>2.6923425309398894</v>
      </c>
      <c r="L216" s="86">
        <f ca="1">L13/'Cost Input'!$J27</f>
        <v>2.6886685836230231</v>
      </c>
      <c r="M216" s="86">
        <f ca="1">M13/'Cost Input'!$J27</f>
        <v>2.683993819186814</v>
      </c>
      <c r="N216" s="86">
        <f ca="1">N13/'Cost Input'!$J27</f>
        <v>2.681155824300681</v>
      </c>
      <c r="O216" s="86">
        <f ca="1">O13/'Cost Input'!$J27</f>
        <v>2.6787178682731736</v>
      </c>
    </row>
    <row r="217" spans="1:15" x14ac:dyDescent="0.2">
      <c r="A217" s="7" t="s">
        <v>51</v>
      </c>
      <c r="B217" s="7"/>
      <c r="C217" s="7"/>
      <c r="D217" s="71">
        <f>'Cost Input'!I96</f>
        <v>14400</v>
      </c>
      <c r="E217" s="85">
        <f>'Cost Input'!J96</f>
        <v>0.4</v>
      </c>
      <c r="F217" s="71">
        <f t="shared" ref="F217:O219" ca="1" si="122">$D217*F$216^$E217</f>
        <v>23873.541663026306</v>
      </c>
      <c r="G217" s="71">
        <f t="shared" ca="1" si="122"/>
        <v>22950.043551602834</v>
      </c>
      <c r="H217" s="71">
        <f t="shared" ca="1" si="122"/>
        <v>22300.971294658411</v>
      </c>
      <c r="I217" s="71">
        <f t="shared" ca="1" si="122"/>
        <v>21855.688877399931</v>
      </c>
      <c r="J217" s="71">
        <f t="shared" ca="1" si="122"/>
        <v>21553.321776268975</v>
      </c>
      <c r="K217" s="71">
        <f t="shared" ca="1" si="122"/>
        <v>21400.041562203718</v>
      </c>
      <c r="L217" s="71">
        <f t="shared" ca="1" si="122"/>
        <v>21388.35585221013</v>
      </c>
      <c r="M217" s="71">
        <f t="shared" ca="1" si="122"/>
        <v>21373.472987509151</v>
      </c>
      <c r="N217" s="71">
        <f t="shared" ca="1" si="122"/>
        <v>21364.430185856829</v>
      </c>
      <c r="O217" s="71">
        <f t="shared" ca="1" si="122"/>
        <v>21356.657454996137</v>
      </c>
    </row>
    <row r="218" spans="1:15" x14ac:dyDescent="0.2">
      <c r="A218" s="7" t="s">
        <v>53</v>
      </c>
      <c r="B218" s="7"/>
      <c r="C218" s="7"/>
      <c r="D218" s="71">
        <f>'Cost Input'!I97</f>
        <v>20</v>
      </c>
      <c r="E218" s="85">
        <f>'Cost Input'!J97</f>
        <v>0.6</v>
      </c>
      <c r="F218" s="85">
        <f t="shared" ca="1" si="122"/>
        <v>42.693477942180508</v>
      </c>
      <c r="G218" s="85">
        <f t="shared" ca="1" si="122"/>
        <v>40.240329533014673</v>
      </c>
      <c r="H218" s="85">
        <f t="shared" ca="1" si="122"/>
        <v>38.545343968155727</v>
      </c>
      <c r="I218" s="85">
        <f t="shared" ca="1" si="122"/>
        <v>37.396676466667131</v>
      </c>
      <c r="J218" s="85">
        <f t="shared" ca="1" si="122"/>
        <v>36.623308604106228</v>
      </c>
      <c r="K218" s="85">
        <f t="shared" ca="1" si="122"/>
        <v>36.233324438031616</v>
      </c>
      <c r="L218" s="85">
        <f t="shared" ca="1" si="122"/>
        <v>36.20365012785291</v>
      </c>
      <c r="M218" s="85">
        <f t="shared" ca="1" si="122"/>
        <v>36.165868802769907</v>
      </c>
      <c r="N218" s="85">
        <f t="shared" ca="1" si="122"/>
        <v>36.142919360881038</v>
      </c>
      <c r="O218" s="85">
        <f t="shared" ca="1" si="122"/>
        <v>36.123197072779647</v>
      </c>
    </row>
    <row r="219" spans="1:15" x14ac:dyDescent="0.2">
      <c r="A219" s="7" t="s">
        <v>54</v>
      </c>
      <c r="B219" s="7"/>
      <c r="C219" s="7"/>
      <c r="D219" s="71">
        <f>'Cost Input'!I98</f>
        <v>100</v>
      </c>
      <c r="E219" s="85">
        <f>'Cost Input'!J98</f>
        <v>0.4</v>
      </c>
      <c r="F219" s="71">
        <f t="shared" ca="1" si="122"/>
        <v>165.78848377101599</v>
      </c>
      <c r="G219" s="71">
        <f t="shared" ca="1" si="122"/>
        <v>159.37530244168633</v>
      </c>
      <c r="H219" s="71">
        <f t="shared" ca="1" si="122"/>
        <v>154.86785621290565</v>
      </c>
      <c r="I219" s="71">
        <f t="shared" ca="1" si="122"/>
        <v>151.7756172041662</v>
      </c>
      <c r="J219" s="71">
        <f t="shared" ca="1" si="122"/>
        <v>149.67584566853452</v>
      </c>
      <c r="K219" s="71">
        <f t="shared" ca="1" si="122"/>
        <v>148.61139973752583</v>
      </c>
      <c r="L219" s="71">
        <f t="shared" ca="1" si="122"/>
        <v>148.53024897368147</v>
      </c>
      <c r="M219" s="71">
        <f t="shared" ca="1" si="122"/>
        <v>148.42689574659133</v>
      </c>
      <c r="N219" s="71">
        <f t="shared" ca="1" si="122"/>
        <v>148.36409851289466</v>
      </c>
      <c r="O219" s="71">
        <f t="shared" ca="1" si="122"/>
        <v>148.31012121525094</v>
      </c>
    </row>
    <row r="220" spans="1:15" x14ac:dyDescent="0.2">
      <c r="A220" s="5" t="s">
        <v>124</v>
      </c>
      <c r="B220" s="5"/>
      <c r="C220" s="5"/>
      <c r="D220" s="71"/>
      <c r="E220" s="85"/>
      <c r="F220" s="66"/>
      <c r="G220" s="66"/>
      <c r="H220" s="66"/>
      <c r="I220" s="66"/>
      <c r="J220" s="66"/>
      <c r="K220" s="66"/>
      <c r="L220" s="66"/>
      <c r="M220" s="66"/>
      <c r="N220" s="66"/>
      <c r="O220" s="66"/>
    </row>
    <row r="221" spans="1:15" x14ac:dyDescent="0.2">
      <c r="A221" s="7" t="s">
        <v>228</v>
      </c>
      <c r="B221" s="7"/>
      <c r="C221" s="7"/>
      <c r="D221" s="71"/>
      <c r="E221" s="85"/>
      <c r="F221" s="86">
        <f t="shared" ref="F221:K221" si="123">F211</f>
        <v>4</v>
      </c>
      <c r="G221" s="86">
        <f t="shared" si="123"/>
        <v>4</v>
      </c>
      <c r="H221" s="86">
        <f t="shared" si="123"/>
        <v>4</v>
      </c>
      <c r="I221" s="86">
        <f t="shared" si="123"/>
        <v>4</v>
      </c>
      <c r="J221" s="86">
        <f t="shared" si="123"/>
        <v>4</v>
      </c>
      <c r="K221" s="86">
        <f t="shared" si="123"/>
        <v>4</v>
      </c>
      <c r="L221" s="86">
        <f t="shared" ref="L221:O221" si="124">L211</f>
        <v>4</v>
      </c>
      <c r="M221" s="86">
        <f t="shared" si="124"/>
        <v>4</v>
      </c>
      <c r="N221" s="86">
        <f t="shared" si="124"/>
        <v>4</v>
      </c>
      <c r="O221" s="86">
        <f t="shared" si="124"/>
        <v>4</v>
      </c>
    </row>
    <row r="222" spans="1:15" x14ac:dyDescent="0.2">
      <c r="A222" s="7" t="s">
        <v>223</v>
      </c>
      <c r="B222" s="7"/>
      <c r="C222" s="7"/>
      <c r="D222" s="71">
        <f>'Cost Input'!I101</f>
        <v>40</v>
      </c>
      <c r="E222" s="85">
        <f>'Cost Input'!J101</f>
        <v>0.3</v>
      </c>
      <c r="F222" s="85">
        <f ca="1">'Battery Design'!F77</f>
        <v>203.05582623187675</v>
      </c>
      <c r="G222" s="85">
        <f ca="1">'Battery Design'!G77</f>
        <v>202.49260080562215</v>
      </c>
      <c r="H222" s="85">
        <f ca="1">'Battery Design'!H77</f>
        <v>201.68382052418207</v>
      </c>
      <c r="I222" s="85">
        <f ca="1">'Battery Design'!I77</f>
        <v>200.58799905927421</v>
      </c>
      <c r="J222" s="85">
        <f ca="1">'Battery Design'!J77</f>
        <v>201.87162508614287</v>
      </c>
      <c r="K222" s="85">
        <f ca="1">'Battery Design'!K77</f>
        <v>200.26495485088896</v>
      </c>
      <c r="L222" s="85">
        <f ca="1">'Battery Design'!L77</f>
        <v>196.57471886976748</v>
      </c>
      <c r="M222" s="85">
        <f ca="1">'Battery Design'!M77</f>
        <v>191.91900588234245</v>
      </c>
      <c r="N222" s="85">
        <f ca="1">'Battery Design'!N77</f>
        <v>189.11439047495833</v>
      </c>
      <c r="O222" s="85">
        <f ca="1">'Battery Design'!O77</f>
        <v>186.71831367323819</v>
      </c>
    </row>
    <row r="223" spans="1:15" x14ac:dyDescent="0.2">
      <c r="A223" s="7" t="s">
        <v>51</v>
      </c>
      <c r="B223" s="7"/>
      <c r="C223" s="7"/>
      <c r="D223" s="71">
        <f>'Cost Input'!I102</f>
        <v>57600</v>
      </c>
      <c r="E223" s="85">
        <f>'Cost Input'!J102</f>
        <v>0.7</v>
      </c>
      <c r="F223" s="71">
        <f t="shared" ref="F223:O223" si="125">$D223*F$221^$E223</f>
        <v>152007.31132103741</v>
      </c>
      <c r="G223" s="71">
        <f t="shared" si="125"/>
        <v>152007.31132103741</v>
      </c>
      <c r="H223" s="71">
        <f t="shared" si="125"/>
        <v>152007.31132103741</v>
      </c>
      <c r="I223" s="71">
        <f t="shared" si="125"/>
        <v>152007.31132103741</v>
      </c>
      <c r="J223" s="71">
        <f t="shared" si="125"/>
        <v>152007.31132103741</v>
      </c>
      <c r="K223" s="71">
        <f t="shared" si="125"/>
        <v>152007.31132103741</v>
      </c>
      <c r="L223" s="71">
        <f t="shared" si="125"/>
        <v>152007.31132103741</v>
      </c>
      <c r="M223" s="71">
        <f t="shared" si="125"/>
        <v>152007.31132103741</v>
      </c>
      <c r="N223" s="71">
        <f t="shared" si="125"/>
        <v>152007.31132103741</v>
      </c>
      <c r="O223" s="71">
        <f t="shared" si="125"/>
        <v>152007.31132103741</v>
      </c>
    </row>
    <row r="224" spans="1:15" x14ac:dyDescent="0.2">
      <c r="A224" s="7" t="s">
        <v>53</v>
      </c>
      <c r="B224" s="7"/>
      <c r="C224" s="7"/>
      <c r="D224" s="71">
        <f>'Cost Input'!I103</f>
        <v>30</v>
      </c>
      <c r="E224" s="85">
        <f>'Cost Input'!J103</f>
        <v>0.8</v>
      </c>
      <c r="F224" s="85">
        <f t="shared" ref="F224:K224" ca="1" si="126">$D224*F$221^$E224*(F222/$D222)^$E222</f>
        <v>148.05936652661657</v>
      </c>
      <c r="G224" s="85">
        <f t="shared" ca="1" si="126"/>
        <v>147.93604297723817</v>
      </c>
      <c r="H224" s="85">
        <f t="shared" ca="1" si="126"/>
        <v>147.7585322025428</v>
      </c>
      <c r="I224" s="85">
        <f t="shared" ca="1" si="126"/>
        <v>147.51722503751307</v>
      </c>
      <c r="J224" s="85">
        <f t="shared" ca="1" si="126"/>
        <v>147.79979583056252</v>
      </c>
      <c r="K224" s="85">
        <f t="shared" ca="1" si="126"/>
        <v>147.44591248927756</v>
      </c>
      <c r="L224" s="85">
        <f t="shared" ref="L224:O224" ca="1" si="127">$D224*L$221^$E224*(L222/$D222)^$E222</f>
        <v>146.62551460634148</v>
      </c>
      <c r="M224" s="85">
        <f t="shared" ca="1" si="127"/>
        <v>145.57494878669323</v>
      </c>
      <c r="N224" s="85">
        <f t="shared" ca="1" si="127"/>
        <v>144.93344776114967</v>
      </c>
      <c r="O224" s="85">
        <f t="shared" ca="1" si="127"/>
        <v>144.38009569050638</v>
      </c>
    </row>
    <row r="225" spans="1:15" x14ac:dyDescent="0.2">
      <c r="A225" s="7" t="s">
        <v>54</v>
      </c>
      <c r="B225" s="7"/>
      <c r="C225" s="7"/>
      <c r="D225" s="71">
        <f>'Cost Input'!I104</f>
        <v>2200</v>
      </c>
      <c r="E225" s="85">
        <f>'Cost Input'!J104</f>
        <v>0.8</v>
      </c>
      <c r="F225" s="85">
        <f t="shared" ref="F225:K225" ca="1" si="128">$D225*F$221^$E225*(F222/$D222)^$E222</f>
        <v>10857.68687861855</v>
      </c>
      <c r="G225" s="85">
        <f t="shared" ca="1" si="128"/>
        <v>10848.643151664133</v>
      </c>
      <c r="H225" s="85">
        <f t="shared" ca="1" si="128"/>
        <v>10835.625694853141</v>
      </c>
      <c r="I225" s="85">
        <f t="shared" ca="1" si="128"/>
        <v>10817.929836084293</v>
      </c>
      <c r="J225" s="85">
        <f t="shared" ca="1" si="128"/>
        <v>10838.651694241251</v>
      </c>
      <c r="K225" s="85">
        <f t="shared" ca="1" si="128"/>
        <v>10812.700249213689</v>
      </c>
      <c r="L225" s="85">
        <f t="shared" ref="L225:O225" ca="1" si="129">$D225*L$221^$E225*(L222/$D222)^$E222</f>
        <v>10752.537737798375</v>
      </c>
      <c r="M225" s="85">
        <f t="shared" ca="1" si="129"/>
        <v>10675.496244357504</v>
      </c>
      <c r="N225" s="85">
        <f t="shared" ca="1" si="129"/>
        <v>10628.452835817643</v>
      </c>
      <c r="O225" s="85">
        <f t="shared" ca="1" si="129"/>
        <v>10587.873683970467</v>
      </c>
    </row>
    <row r="226" spans="1:15" x14ac:dyDescent="0.2">
      <c r="A226" s="5" t="s">
        <v>442</v>
      </c>
      <c r="B226" s="7"/>
      <c r="C226" s="7"/>
      <c r="D226" s="71"/>
      <c r="E226" s="85"/>
      <c r="F226" s="85"/>
      <c r="G226" s="85"/>
      <c r="H226" s="85"/>
      <c r="I226" s="85"/>
      <c r="J226" s="85"/>
      <c r="K226" s="85"/>
      <c r="L226" s="85"/>
      <c r="M226" s="85"/>
      <c r="N226" s="85"/>
      <c r="O226" s="85"/>
    </row>
    <row r="227" spans="1:15" x14ac:dyDescent="0.2">
      <c r="A227" s="7" t="s">
        <v>228</v>
      </c>
      <c r="B227" s="7"/>
      <c r="C227" s="7"/>
      <c r="D227" s="71"/>
      <c r="E227" s="85"/>
      <c r="F227" s="86">
        <f t="shared" ref="F227:K227" si="130">F221</f>
        <v>4</v>
      </c>
      <c r="G227" s="86">
        <f t="shared" si="130"/>
        <v>4</v>
      </c>
      <c r="H227" s="86">
        <f t="shared" si="130"/>
        <v>4</v>
      </c>
      <c r="I227" s="86">
        <f t="shared" si="130"/>
        <v>4</v>
      </c>
      <c r="J227" s="86">
        <f t="shared" si="130"/>
        <v>4</v>
      </c>
      <c r="K227" s="86">
        <f t="shared" si="130"/>
        <v>4</v>
      </c>
      <c r="L227" s="86">
        <f t="shared" ref="L227:O227" si="131">L221</f>
        <v>4</v>
      </c>
      <c r="M227" s="86">
        <f t="shared" si="131"/>
        <v>4</v>
      </c>
      <c r="N227" s="86">
        <f t="shared" si="131"/>
        <v>4</v>
      </c>
      <c r="O227" s="86">
        <f t="shared" si="131"/>
        <v>4</v>
      </c>
    </row>
    <row r="228" spans="1:15" x14ac:dyDescent="0.2">
      <c r="A228" s="7" t="s">
        <v>51</v>
      </c>
      <c r="B228" s="7"/>
      <c r="C228" s="7"/>
      <c r="D228" s="71">
        <f>'Cost Input'!I107</f>
        <v>14400</v>
      </c>
      <c r="E228" s="85">
        <f>'Cost Input'!J107</f>
        <v>0.5</v>
      </c>
      <c r="F228" s="71">
        <f t="shared" ref="F228:O230" si="132">$D228*F$227^$E228</f>
        <v>28800</v>
      </c>
      <c r="G228" s="71">
        <f t="shared" si="132"/>
        <v>28800</v>
      </c>
      <c r="H228" s="71">
        <f t="shared" si="132"/>
        <v>28800</v>
      </c>
      <c r="I228" s="71">
        <f t="shared" si="132"/>
        <v>28800</v>
      </c>
      <c r="J228" s="71">
        <f t="shared" si="132"/>
        <v>28800</v>
      </c>
      <c r="K228" s="71">
        <f t="shared" si="132"/>
        <v>28800</v>
      </c>
      <c r="L228" s="71">
        <f t="shared" si="132"/>
        <v>28800</v>
      </c>
      <c r="M228" s="71">
        <f t="shared" si="132"/>
        <v>28800</v>
      </c>
      <c r="N228" s="71">
        <f t="shared" si="132"/>
        <v>28800</v>
      </c>
      <c r="O228" s="71">
        <f t="shared" si="132"/>
        <v>28800</v>
      </c>
    </row>
    <row r="229" spans="1:15" x14ac:dyDescent="0.2">
      <c r="A229" s="7" t="s">
        <v>53</v>
      </c>
      <c r="B229" s="7"/>
      <c r="C229" s="7"/>
      <c r="D229" s="85">
        <f>'Cost Input'!I108</f>
        <v>2</v>
      </c>
      <c r="E229" s="85">
        <f>'Cost Input'!J108</f>
        <v>0.7</v>
      </c>
      <c r="F229" s="85">
        <f t="shared" si="132"/>
        <v>5.2780316430915768</v>
      </c>
      <c r="G229" s="85">
        <f t="shared" si="132"/>
        <v>5.2780316430915768</v>
      </c>
      <c r="H229" s="85">
        <f t="shared" si="132"/>
        <v>5.2780316430915768</v>
      </c>
      <c r="I229" s="85">
        <f t="shared" si="132"/>
        <v>5.2780316430915768</v>
      </c>
      <c r="J229" s="85">
        <f t="shared" si="132"/>
        <v>5.2780316430915768</v>
      </c>
      <c r="K229" s="85">
        <f t="shared" si="132"/>
        <v>5.2780316430915768</v>
      </c>
      <c r="L229" s="85">
        <f t="shared" si="132"/>
        <v>5.2780316430915768</v>
      </c>
      <c r="M229" s="85">
        <f t="shared" si="132"/>
        <v>5.2780316430915768</v>
      </c>
      <c r="N229" s="85">
        <f t="shared" si="132"/>
        <v>5.2780316430915768</v>
      </c>
      <c r="O229" s="85">
        <f t="shared" si="132"/>
        <v>5.2780316430915768</v>
      </c>
    </row>
    <row r="230" spans="1:15" x14ac:dyDescent="0.2">
      <c r="A230" s="7" t="s">
        <v>54</v>
      </c>
      <c r="B230" s="7"/>
      <c r="C230" s="7"/>
      <c r="D230" s="71">
        <f>'Cost Input'!I109</f>
        <v>450</v>
      </c>
      <c r="E230" s="85">
        <f>'Cost Input'!J109</f>
        <v>0.6</v>
      </c>
      <c r="F230" s="71">
        <f t="shared" si="132"/>
        <v>1033.8285194973316</v>
      </c>
      <c r="G230" s="71">
        <f t="shared" si="132"/>
        <v>1033.8285194973316</v>
      </c>
      <c r="H230" s="71">
        <f t="shared" si="132"/>
        <v>1033.8285194973316</v>
      </c>
      <c r="I230" s="71">
        <f t="shared" si="132"/>
        <v>1033.8285194973316</v>
      </c>
      <c r="J230" s="71">
        <f t="shared" si="132"/>
        <v>1033.8285194973316</v>
      </c>
      <c r="K230" s="71">
        <f t="shared" si="132"/>
        <v>1033.8285194973316</v>
      </c>
      <c r="L230" s="71">
        <f t="shared" si="132"/>
        <v>1033.8285194973316</v>
      </c>
      <c r="M230" s="71">
        <f t="shared" si="132"/>
        <v>1033.8285194973316</v>
      </c>
      <c r="N230" s="71">
        <f t="shared" si="132"/>
        <v>1033.8285194973316</v>
      </c>
      <c r="O230" s="71">
        <f t="shared" si="132"/>
        <v>1033.8285194973316</v>
      </c>
    </row>
    <row r="231" spans="1:15" x14ac:dyDescent="0.2">
      <c r="A231" s="5" t="s">
        <v>463</v>
      </c>
      <c r="B231" s="7"/>
      <c r="C231" s="7"/>
      <c r="D231" s="71"/>
      <c r="E231" s="85"/>
      <c r="F231" s="85"/>
      <c r="G231" s="85"/>
      <c r="H231" s="85"/>
      <c r="I231" s="85"/>
      <c r="J231" s="85"/>
      <c r="K231" s="85"/>
      <c r="L231" s="85"/>
      <c r="M231" s="85"/>
      <c r="N231" s="85"/>
      <c r="O231" s="85"/>
    </row>
    <row r="232" spans="1:15" x14ac:dyDescent="0.2">
      <c r="A232" s="7" t="s">
        <v>228</v>
      </c>
      <c r="B232" s="7"/>
      <c r="C232" s="7"/>
      <c r="D232" s="71"/>
      <c r="E232" s="85"/>
      <c r="F232" s="86">
        <f t="shared" ref="F232:K232" si="133">F227</f>
        <v>4</v>
      </c>
      <c r="G232" s="86">
        <f t="shared" si="133"/>
        <v>4</v>
      </c>
      <c r="H232" s="86">
        <f t="shared" si="133"/>
        <v>4</v>
      </c>
      <c r="I232" s="86">
        <f t="shared" si="133"/>
        <v>4</v>
      </c>
      <c r="J232" s="86">
        <f t="shared" si="133"/>
        <v>4</v>
      </c>
      <c r="K232" s="86">
        <f t="shared" si="133"/>
        <v>4</v>
      </c>
      <c r="L232" s="86">
        <f t="shared" ref="L232:O232" si="134">L227</f>
        <v>4</v>
      </c>
      <c r="M232" s="86">
        <f t="shared" si="134"/>
        <v>4</v>
      </c>
      <c r="N232" s="86">
        <f t="shared" si="134"/>
        <v>4</v>
      </c>
      <c r="O232" s="86">
        <f t="shared" si="134"/>
        <v>4</v>
      </c>
    </row>
    <row r="233" spans="1:15" x14ac:dyDescent="0.2">
      <c r="A233" s="7" t="s">
        <v>51</v>
      </c>
      <c r="B233" s="7"/>
      <c r="C233" s="7"/>
      <c r="D233" s="71">
        <f>'Cost Input'!I112</f>
        <v>21600</v>
      </c>
      <c r="E233" s="85">
        <f>'Cost Input'!J112</f>
        <v>0.4</v>
      </c>
      <c r="F233" s="71">
        <f t="shared" ref="F233:O235" si="135">$D233*F$232^$E233</f>
        <v>37607.784334392563</v>
      </c>
      <c r="G233" s="71">
        <f t="shared" si="135"/>
        <v>37607.784334392563</v>
      </c>
      <c r="H233" s="71">
        <f t="shared" si="135"/>
        <v>37607.784334392563</v>
      </c>
      <c r="I233" s="71">
        <f t="shared" si="135"/>
        <v>37607.784334392563</v>
      </c>
      <c r="J233" s="71">
        <f t="shared" si="135"/>
        <v>37607.784334392563</v>
      </c>
      <c r="K233" s="71">
        <f t="shared" si="135"/>
        <v>37607.784334392563</v>
      </c>
      <c r="L233" s="71">
        <f t="shared" si="135"/>
        <v>37607.784334392563</v>
      </c>
      <c r="M233" s="71">
        <f t="shared" si="135"/>
        <v>37607.784334392563</v>
      </c>
      <c r="N233" s="71">
        <f t="shared" si="135"/>
        <v>37607.784334392563</v>
      </c>
      <c r="O233" s="71">
        <f t="shared" si="135"/>
        <v>37607.784334392563</v>
      </c>
    </row>
    <row r="234" spans="1:15" x14ac:dyDescent="0.2">
      <c r="A234" s="7" t="s">
        <v>53</v>
      </c>
      <c r="B234" s="7"/>
      <c r="C234" s="7"/>
      <c r="D234" s="183">
        <f>'Cost Input'!I113</f>
        <v>4.75</v>
      </c>
      <c r="E234" s="85">
        <f>'Cost Input'!J113</f>
        <v>0.7</v>
      </c>
      <c r="F234" s="183">
        <f t="shared" si="135"/>
        <v>12.535325152342494</v>
      </c>
      <c r="G234" s="183">
        <f t="shared" si="135"/>
        <v>12.535325152342494</v>
      </c>
      <c r="H234" s="183">
        <f t="shared" si="135"/>
        <v>12.535325152342494</v>
      </c>
      <c r="I234" s="183">
        <f t="shared" si="135"/>
        <v>12.535325152342494</v>
      </c>
      <c r="J234" s="183">
        <f t="shared" si="135"/>
        <v>12.535325152342494</v>
      </c>
      <c r="K234" s="183">
        <f t="shared" si="135"/>
        <v>12.535325152342494</v>
      </c>
      <c r="L234" s="183">
        <f t="shared" si="135"/>
        <v>12.535325152342494</v>
      </c>
      <c r="M234" s="183">
        <f t="shared" si="135"/>
        <v>12.535325152342494</v>
      </c>
      <c r="N234" s="183">
        <f t="shared" si="135"/>
        <v>12.535325152342494</v>
      </c>
      <c r="O234" s="183">
        <f t="shared" si="135"/>
        <v>12.535325152342494</v>
      </c>
    </row>
    <row r="235" spans="1:15" x14ac:dyDescent="0.2">
      <c r="A235" s="7" t="s">
        <v>54</v>
      </c>
      <c r="B235" s="7"/>
      <c r="C235" s="7"/>
      <c r="D235" s="71">
        <f>'Cost Input'!I114</f>
        <v>900</v>
      </c>
      <c r="E235" s="85">
        <f>'Cost Input'!J114</f>
        <v>0.6</v>
      </c>
      <c r="F235" s="71">
        <f t="shared" si="135"/>
        <v>2067.6570389946633</v>
      </c>
      <c r="G235" s="71">
        <f t="shared" si="135"/>
        <v>2067.6570389946633</v>
      </c>
      <c r="H235" s="71">
        <f t="shared" si="135"/>
        <v>2067.6570389946633</v>
      </c>
      <c r="I235" s="71">
        <f t="shared" si="135"/>
        <v>2067.6570389946633</v>
      </c>
      <c r="J235" s="71">
        <f t="shared" si="135"/>
        <v>2067.6570389946633</v>
      </c>
      <c r="K235" s="71">
        <f t="shared" si="135"/>
        <v>2067.6570389946633</v>
      </c>
      <c r="L235" s="71">
        <f t="shared" si="135"/>
        <v>2067.6570389946633</v>
      </c>
      <c r="M235" s="71">
        <f t="shared" si="135"/>
        <v>2067.6570389946633</v>
      </c>
      <c r="N235" s="71">
        <f t="shared" si="135"/>
        <v>2067.6570389946633</v>
      </c>
      <c r="O235" s="71">
        <f t="shared" si="135"/>
        <v>2067.6570389946633</v>
      </c>
    </row>
    <row r="236" spans="1:15" x14ac:dyDescent="0.2">
      <c r="A236" s="5" t="s">
        <v>125</v>
      </c>
      <c r="B236" s="5"/>
      <c r="C236" s="5"/>
      <c r="D236" s="71"/>
      <c r="E236" s="85"/>
      <c r="F236" s="66"/>
      <c r="G236" s="66"/>
      <c r="H236" s="66"/>
      <c r="I236" s="66"/>
      <c r="J236" s="66"/>
      <c r="K236" s="66"/>
      <c r="L236" s="66"/>
      <c r="M236" s="66"/>
      <c r="N236" s="66"/>
      <c r="O236" s="66"/>
    </row>
    <row r="237" spans="1:15" x14ac:dyDescent="0.2">
      <c r="A237" s="7" t="s">
        <v>228</v>
      </c>
      <c r="B237" s="7"/>
      <c r="C237" s="7"/>
      <c r="D237" s="71"/>
      <c r="E237" s="85"/>
      <c r="F237" s="88">
        <f t="shared" ref="F237:K237" si="136">F221</f>
        <v>4</v>
      </c>
      <c r="G237" s="88">
        <f t="shared" si="136"/>
        <v>4</v>
      </c>
      <c r="H237" s="88">
        <f t="shared" si="136"/>
        <v>4</v>
      </c>
      <c r="I237" s="88">
        <f t="shared" si="136"/>
        <v>4</v>
      </c>
      <c r="J237" s="88">
        <f t="shared" si="136"/>
        <v>4</v>
      </c>
      <c r="K237" s="88">
        <f t="shared" si="136"/>
        <v>4</v>
      </c>
      <c r="L237" s="88">
        <f t="shared" ref="L237:O237" si="137">L221</f>
        <v>4</v>
      </c>
      <c r="M237" s="88">
        <f t="shared" si="137"/>
        <v>4</v>
      </c>
      <c r="N237" s="88">
        <f t="shared" si="137"/>
        <v>4</v>
      </c>
      <c r="O237" s="88">
        <f t="shared" si="137"/>
        <v>4</v>
      </c>
    </row>
    <row r="238" spans="1:15" x14ac:dyDescent="0.2">
      <c r="A238" s="7" t="s">
        <v>51</v>
      </c>
      <c r="B238" s="7"/>
      <c r="C238" s="7"/>
      <c r="D238" s="71">
        <f>'Cost Input'!I117</f>
        <v>43200</v>
      </c>
      <c r="E238" s="85">
        <f>'Cost Input'!J117</f>
        <v>0.5</v>
      </c>
      <c r="F238" s="71">
        <f t="shared" ref="F238:O240" si="138">$D238*F$237^$E238</f>
        <v>86400</v>
      </c>
      <c r="G238" s="71">
        <f t="shared" si="138"/>
        <v>86400</v>
      </c>
      <c r="H238" s="71">
        <f t="shared" si="138"/>
        <v>86400</v>
      </c>
      <c r="I238" s="71">
        <f t="shared" si="138"/>
        <v>86400</v>
      </c>
      <c r="J238" s="71">
        <f t="shared" si="138"/>
        <v>86400</v>
      </c>
      <c r="K238" s="71">
        <f t="shared" si="138"/>
        <v>86400</v>
      </c>
      <c r="L238" s="71">
        <f t="shared" si="138"/>
        <v>86400</v>
      </c>
      <c r="M238" s="71">
        <f t="shared" si="138"/>
        <v>86400</v>
      </c>
      <c r="N238" s="71">
        <f t="shared" si="138"/>
        <v>86400</v>
      </c>
      <c r="O238" s="71">
        <f t="shared" si="138"/>
        <v>86400</v>
      </c>
    </row>
    <row r="239" spans="1:15" x14ac:dyDescent="0.2">
      <c r="A239" s="7" t="s">
        <v>53</v>
      </c>
      <c r="B239" s="7"/>
      <c r="C239" s="7"/>
      <c r="D239" s="85">
        <f>'Cost Input'!I118</f>
        <v>6</v>
      </c>
      <c r="E239" s="85">
        <f>'Cost Input'!J118</f>
        <v>0.7</v>
      </c>
      <c r="F239" s="85">
        <f t="shared" si="138"/>
        <v>15.83409492927473</v>
      </c>
      <c r="G239" s="85">
        <f t="shared" si="138"/>
        <v>15.83409492927473</v>
      </c>
      <c r="H239" s="85">
        <f t="shared" si="138"/>
        <v>15.83409492927473</v>
      </c>
      <c r="I239" s="85">
        <f t="shared" si="138"/>
        <v>15.83409492927473</v>
      </c>
      <c r="J239" s="85">
        <f t="shared" si="138"/>
        <v>15.83409492927473</v>
      </c>
      <c r="K239" s="85">
        <f t="shared" si="138"/>
        <v>15.83409492927473</v>
      </c>
      <c r="L239" s="85">
        <f t="shared" si="138"/>
        <v>15.83409492927473</v>
      </c>
      <c r="M239" s="85">
        <f t="shared" si="138"/>
        <v>15.83409492927473</v>
      </c>
      <c r="N239" s="85">
        <f t="shared" si="138"/>
        <v>15.83409492927473</v>
      </c>
      <c r="O239" s="85">
        <f t="shared" si="138"/>
        <v>15.83409492927473</v>
      </c>
    </row>
    <row r="240" spans="1:15" x14ac:dyDescent="0.2">
      <c r="A240" s="7" t="s">
        <v>54</v>
      </c>
      <c r="B240" s="7"/>
      <c r="C240" s="7"/>
      <c r="D240" s="71">
        <f>'Cost Input'!I119</f>
        <v>600</v>
      </c>
      <c r="E240" s="85">
        <f>'Cost Input'!J119</f>
        <v>0.6</v>
      </c>
      <c r="F240" s="71">
        <f t="shared" si="138"/>
        <v>1378.4380259964421</v>
      </c>
      <c r="G240" s="71">
        <f t="shared" si="138"/>
        <v>1378.4380259964421</v>
      </c>
      <c r="H240" s="71">
        <f t="shared" si="138"/>
        <v>1378.4380259964421</v>
      </c>
      <c r="I240" s="71">
        <f t="shared" si="138"/>
        <v>1378.4380259964421</v>
      </c>
      <c r="J240" s="71">
        <f t="shared" si="138"/>
        <v>1378.4380259964421</v>
      </c>
      <c r="K240" s="71">
        <f t="shared" si="138"/>
        <v>1378.4380259964421</v>
      </c>
      <c r="L240" s="71">
        <f t="shared" si="138"/>
        <v>1378.4380259964421</v>
      </c>
      <c r="M240" s="71">
        <f t="shared" si="138"/>
        <v>1378.4380259964421</v>
      </c>
      <c r="N240" s="71">
        <f t="shared" si="138"/>
        <v>1378.4380259964421</v>
      </c>
      <c r="O240" s="71">
        <f t="shared" si="138"/>
        <v>1378.4380259964421</v>
      </c>
    </row>
    <row r="241" spans="1:15" x14ac:dyDescent="0.2">
      <c r="A241" s="35" t="s">
        <v>348</v>
      </c>
      <c r="B241" s="5"/>
      <c r="C241" s="5"/>
      <c r="D241" s="71"/>
      <c r="E241" s="85"/>
      <c r="F241" s="66"/>
      <c r="G241" s="66"/>
      <c r="H241" s="66"/>
      <c r="I241" s="66"/>
      <c r="J241" s="66"/>
      <c r="K241" s="66"/>
      <c r="L241" s="66"/>
      <c r="M241" s="66"/>
      <c r="N241" s="66"/>
      <c r="O241" s="66"/>
    </row>
    <row r="242" spans="1:15" x14ac:dyDescent="0.2">
      <c r="A242" s="7" t="s">
        <v>228</v>
      </c>
      <c r="B242" s="7"/>
      <c r="C242" s="7"/>
      <c r="D242" s="71"/>
      <c r="E242" s="85"/>
      <c r="F242" s="88">
        <f t="shared" ref="F242:K242" si="139">F237</f>
        <v>4</v>
      </c>
      <c r="G242" s="88">
        <f t="shared" si="139"/>
        <v>4</v>
      </c>
      <c r="H242" s="88">
        <f t="shared" si="139"/>
        <v>4</v>
      </c>
      <c r="I242" s="88">
        <f t="shared" si="139"/>
        <v>4</v>
      </c>
      <c r="J242" s="88">
        <f t="shared" si="139"/>
        <v>4</v>
      </c>
      <c r="K242" s="88">
        <f t="shared" si="139"/>
        <v>4</v>
      </c>
      <c r="L242" s="88">
        <f t="shared" ref="L242:O242" si="140">L237</f>
        <v>4</v>
      </c>
      <c r="M242" s="88">
        <f t="shared" si="140"/>
        <v>4</v>
      </c>
      <c r="N242" s="88">
        <f t="shared" si="140"/>
        <v>4</v>
      </c>
      <c r="O242" s="88">
        <f t="shared" si="140"/>
        <v>4</v>
      </c>
    </row>
    <row r="243" spans="1:15" x14ac:dyDescent="0.2">
      <c r="A243" s="7" t="s">
        <v>393</v>
      </c>
      <c r="B243" s="7"/>
      <c r="C243" s="7"/>
      <c r="D243" s="71">
        <f>'Cost Input'!I122</f>
        <v>4</v>
      </c>
      <c r="E243" s="85">
        <f>'Cost Input'!J122</f>
        <v>0.3</v>
      </c>
      <c r="F243" s="72">
        <f>'Battery Design'!F62</f>
        <v>8</v>
      </c>
      <c r="G243" s="72">
        <f>'Battery Design'!G62</f>
        <v>8</v>
      </c>
      <c r="H243" s="72">
        <f>'Battery Design'!H62</f>
        <v>8</v>
      </c>
      <c r="I243" s="72">
        <f>'Battery Design'!I62</f>
        <v>8</v>
      </c>
      <c r="J243" s="72">
        <f>'Battery Design'!J62</f>
        <v>8</v>
      </c>
      <c r="K243" s="72">
        <f>'Battery Design'!K62</f>
        <v>8</v>
      </c>
      <c r="L243" s="72">
        <f>'Battery Design'!L62</f>
        <v>8</v>
      </c>
      <c r="M243" s="72">
        <f>'Battery Design'!M62</f>
        <v>8</v>
      </c>
      <c r="N243" s="72">
        <f>'Battery Design'!N62</f>
        <v>8</v>
      </c>
      <c r="O243" s="72">
        <f>'Battery Design'!O62</f>
        <v>8</v>
      </c>
    </row>
    <row r="244" spans="1:15" x14ac:dyDescent="0.2">
      <c r="A244" s="7" t="s">
        <v>51</v>
      </c>
      <c r="B244" s="7"/>
      <c r="C244" s="7"/>
      <c r="D244" s="71">
        <f>'Cost Input'!I123</f>
        <v>43200</v>
      </c>
      <c r="E244" s="85">
        <f>'Cost Input'!J123</f>
        <v>0.5</v>
      </c>
      <c r="F244" s="71">
        <f t="shared" ref="F244:O244" si="141">$D244*F$242^$E244</f>
        <v>86400</v>
      </c>
      <c r="G244" s="71">
        <f t="shared" si="141"/>
        <v>86400</v>
      </c>
      <c r="H244" s="71">
        <f t="shared" si="141"/>
        <v>86400</v>
      </c>
      <c r="I244" s="71">
        <f t="shared" si="141"/>
        <v>86400</v>
      </c>
      <c r="J244" s="71">
        <f t="shared" si="141"/>
        <v>86400</v>
      </c>
      <c r="K244" s="71">
        <f t="shared" si="141"/>
        <v>86400</v>
      </c>
      <c r="L244" s="71">
        <f t="shared" si="141"/>
        <v>86400</v>
      </c>
      <c r="M244" s="71">
        <f t="shared" si="141"/>
        <v>86400</v>
      </c>
      <c r="N244" s="71">
        <f t="shared" si="141"/>
        <v>86400</v>
      </c>
      <c r="O244" s="71">
        <f t="shared" si="141"/>
        <v>86400</v>
      </c>
    </row>
    <row r="245" spans="1:15" x14ac:dyDescent="0.2">
      <c r="A245" s="7" t="s">
        <v>53</v>
      </c>
      <c r="B245" s="7"/>
      <c r="C245" s="7"/>
      <c r="D245" s="85">
        <f>'Cost Input'!I124</f>
        <v>6</v>
      </c>
      <c r="E245" s="85">
        <f>'Cost Input'!J124</f>
        <v>0.7</v>
      </c>
      <c r="F245" s="85">
        <f t="shared" ref="F245:K245" si="142">$D245*F$242^$E245*(F243/$D243)^$E243</f>
        <v>19.494057512549652</v>
      </c>
      <c r="G245" s="85">
        <f t="shared" si="142"/>
        <v>19.494057512549652</v>
      </c>
      <c r="H245" s="85">
        <f t="shared" si="142"/>
        <v>19.494057512549652</v>
      </c>
      <c r="I245" s="85">
        <f t="shared" si="142"/>
        <v>19.494057512549652</v>
      </c>
      <c r="J245" s="85">
        <f t="shared" si="142"/>
        <v>19.494057512549652</v>
      </c>
      <c r="K245" s="85">
        <f t="shared" si="142"/>
        <v>19.494057512549652</v>
      </c>
      <c r="L245" s="85">
        <f t="shared" ref="L245:O245" si="143">$D245*L$242^$E245*(L243/$D243)^$E243</f>
        <v>19.494057512549652</v>
      </c>
      <c r="M245" s="85">
        <f t="shared" si="143"/>
        <v>19.494057512549652</v>
      </c>
      <c r="N245" s="85">
        <f t="shared" si="143"/>
        <v>19.494057512549652</v>
      </c>
      <c r="O245" s="85">
        <f t="shared" si="143"/>
        <v>19.494057512549652</v>
      </c>
    </row>
    <row r="246" spans="1:15" x14ac:dyDescent="0.2">
      <c r="A246" s="7" t="s">
        <v>54</v>
      </c>
      <c r="B246" s="7"/>
      <c r="C246" s="7"/>
      <c r="D246" s="71">
        <f>'Cost Input'!I125</f>
        <v>900</v>
      </c>
      <c r="E246" s="85">
        <f>'Cost Input'!J125</f>
        <v>0.6</v>
      </c>
      <c r="F246" s="71">
        <f t="shared" ref="F246:O246" si="144">$D246*F$242^$E246</f>
        <v>2067.6570389946633</v>
      </c>
      <c r="G246" s="71">
        <f t="shared" si="144"/>
        <v>2067.6570389946633</v>
      </c>
      <c r="H246" s="71">
        <f t="shared" si="144"/>
        <v>2067.6570389946633</v>
      </c>
      <c r="I246" s="71">
        <f t="shared" si="144"/>
        <v>2067.6570389946633</v>
      </c>
      <c r="J246" s="71">
        <f t="shared" si="144"/>
        <v>2067.6570389946633</v>
      </c>
      <c r="K246" s="71">
        <f t="shared" si="144"/>
        <v>2067.6570389946633</v>
      </c>
      <c r="L246" s="71">
        <f t="shared" si="144"/>
        <v>2067.6570389946633</v>
      </c>
      <c r="M246" s="71">
        <f t="shared" si="144"/>
        <v>2067.6570389946633</v>
      </c>
      <c r="N246" s="71">
        <f t="shared" si="144"/>
        <v>2067.6570389946633</v>
      </c>
      <c r="O246" s="71">
        <f t="shared" si="144"/>
        <v>2067.6570389946633</v>
      </c>
    </row>
    <row r="247" spans="1:15" x14ac:dyDescent="0.2">
      <c r="A247" s="5" t="s">
        <v>126</v>
      </c>
      <c r="B247" s="5"/>
      <c r="C247" s="5"/>
      <c r="D247" s="71"/>
      <c r="E247" s="85"/>
    </row>
    <row r="248" spans="1:15" x14ac:dyDescent="0.2">
      <c r="A248" s="7" t="s">
        <v>228</v>
      </c>
      <c r="B248" s="7"/>
      <c r="C248" s="7"/>
      <c r="D248" s="71"/>
      <c r="E248" s="85"/>
      <c r="F248" s="54">
        <f>(1-'Cost Input'!$E4/100)/'Cost Input'!$E4*100*F8/(100-'Cost Input'!$E4)*'Cost Input'!$E4/'Cost Input'!$J21</f>
        <v>4.0000000000000036</v>
      </c>
      <c r="G248" s="54">
        <f>(1-'Cost Input'!$E4/100)/'Cost Input'!$E4*100*G8/(100-'Cost Input'!$E4)*'Cost Input'!$E4/'Cost Input'!$J21</f>
        <v>4.0000000000000036</v>
      </c>
      <c r="H248" s="54">
        <f>(1-'Cost Input'!$E4/100)/'Cost Input'!$E4*100*H8/(100-'Cost Input'!$E4)*'Cost Input'!$E4/'Cost Input'!$J21</f>
        <v>4.0000000000000036</v>
      </c>
      <c r="I248" s="54">
        <f>(1-'Cost Input'!$E4/100)/'Cost Input'!$E4*100*I8/(100-'Cost Input'!$E4)*'Cost Input'!$E4/'Cost Input'!$J21</f>
        <v>4.0000000000000036</v>
      </c>
      <c r="J248" s="54">
        <f>(1-'Cost Input'!$E4/100)/'Cost Input'!$E4*100*J8/(100-'Cost Input'!$E4)*'Cost Input'!$E4/'Cost Input'!$J21</f>
        <v>4.0000000000000036</v>
      </c>
      <c r="K248" s="54">
        <f>(1-'Cost Input'!$E4/100)/'Cost Input'!$E4*100*K8/(100-'Cost Input'!$E4)*'Cost Input'!$E4/'Cost Input'!$J21</f>
        <v>4.0000000000000036</v>
      </c>
      <c r="L248" s="54">
        <f>(1-'Cost Input'!$E4/100)/'Cost Input'!$E4*100*L8/(100-'Cost Input'!$E4)*'Cost Input'!$E4/'Cost Input'!$J21</f>
        <v>4.0000000000000036</v>
      </c>
      <c r="M248" s="54">
        <f>(1-'Cost Input'!$E4/100)/'Cost Input'!$E4*100*M8/(100-'Cost Input'!$E4)*'Cost Input'!$E4/'Cost Input'!$J21</f>
        <v>4.0000000000000036</v>
      </c>
      <c r="N248" s="54">
        <f>(1-'Cost Input'!$E4/100)/'Cost Input'!$E4*100*N8/(100-'Cost Input'!$E4)*'Cost Input'!$E4/'Cost Input'!$J21</f>
        <v>4.0000000000000036</v>
      </c>
      <c r="O248" s="54">
        <f>(1-'Cost Input'!$E4/100)/'Cost Input'!$E4*100*O8/(100-'Cost Input'!$E4)*'Cost Input'!$E4/'Cost Input'!$J21</f>
        <v>4.0000000000000036</v>
      </c>
    </row>
    <row r="249" spans="1:15" x14ac:dyDescent="0.2">
      <c r="A249" s="7" t="s">
        <v>51</v>
      </c>
      <c r="B249" s="7"/>
      <c r="C249" s="7"/>
      <c r="D249" s="71">
        <f>'Cost Input'!I128</f>
        <v>36000</v>
      </c>
      <c r="E249" s="85">
        <f>'Cost Input'!J128</f>
        <v>0.7</v>
      </c>
      <c r="F249" s="71">
        <f t="shared" ref="F249:O251" si="145">$D249*F$248^$E249</f>
        <v>95004.569575648449</v>
      </c>
      <c r="G249" s="71">
        <f t="shared" si="145"/>
        <v>95004.569575648449</v>
      </c>
      <c r="H249" s="71">
        <f t="shared" si="145"/>
        <v>95004.569575648449</v>
      </c>
      <c r="I249" s="71">
        <f t="shared" si="145"/>
        <v>95004.569575648449</v>
      </c>
      <c r="J249" s="71">
        <f t="shared" si="145"/>
        <v>95004.569575648449</v>
      </c>
      <c r="K249" s="71">
        <f t="shared" si="145"/>
        <v>95004.569575648449</v>
      </c>
      <c r="L249" s="71">
        <f t="shared" si="145"/>
        <v>95004.569575648449</v>
      </c>
      <c r="M249" s="71">
        <f t="shared" si="145"/>
        <v>95004.569575648449</v>
      </c>
      <c r="N249" s="71">
        <f t="shared" si="145"/>
        <v>95004.569575648449</v>
      </c>
      <c r="O249" s="71">
        <f t="shared" si="145"/>
        <v>95004.569575648449</v>
      </c>
    </row>
    <row r="250" spans="1:15" x14ac:dyDescent="0.2">
      <c r="A250" s="7" t="s">
        <v>53</v>
      </c>
      <c r="B250" s="7"/>
      <c r="C250" s="7"/>
      <c r="D250" s="85">
        <f>'Cost Input'!I129</f>
        <v>2.5</v>
      </c>
      <c r="E250" s="85">
        <f>'Cost Input'!J129</f>
        <v>0.7</v>
      </c>
      <c r="F250" s="85">
        <f t="shared" si="145"/>
        <v>6.5975395538644754</v>
      </c>
      <c r="G250" s="85">
        <f t="shared" si="145"/>
        <v>6.5975395538644754</v>
      </c>
      <c r="H250" s="85">
        <f t="shared" si="145"/>
        <v>6.5975395538644754</v>
      </c>
      <c r="I250" s="85">
        <f t="shared" si="145"/>
        <v>6.5975395538644754</v>
      </c>
      <c r="J250" s="85">
        <f t="shared" si="145"/>
        <v>6.5975395538644754</v>
      </c>
      <c r="K250" s="85">
        <f t="shared" si="145"/>
        <v>6.5975395538644754</v>
      </c>
      <c r="L250" s="85">
        <f t="shared" si="145"/>
        <v>6.5975395538644754</v>
      </c>
      <c r="M250" s="85">
        <f t="shared" si="145"/>
        <v>6.5975395538644754</v>
      </c>
      <c r="N250" s="85">
        <f t="shared" si="145"/>
        <v>6.5975395538644754</v>
      </c>
      <c r="O250" s="85">
        <f t="shared" si="145"/>
        <v>6.5975395538644754</v>
      </c>
    </row>
    <row r="251" spans="1:15" x14ac:dyDescent="0.2">
      <c r="A251" s="7" t="s">
        <v>54</v>
      </c>
      <c r="B251" s="7"/>
      <c r="C251" s="7"/>
      <c r="D251" s="71">
        <f>'Cost Input'!I130</f>
        <v>600</v>
      </c>
      <c r="E251" s="85">
        <f>'Cost Input'!J130</f>
        <v>0.6</v>
      </c>
      <c r="F251" s="71">
        <f t="shared" si="145"/>
        <v>1378.4380259964425</v>
      </c>
      <c r="G251" s="71">
        <f t="shared" si="145"/>
        <v>1378.4380259964425</v>
      </c>
      <c r="H251" s="71">
        <f t="shared" si="145"/>
        <v>1378.4380259964425</v>
      </c>
      <c r="I251" s="71">
        <f t="shared" si="145"/>
        <v>1378.4380259964425</v>
      </c>
      <c r="J251" s="71">
        <f t="shared" si="145"/>
        <v>1378.4380259964425</v>
      </c>
      <c r="K251" s="71">
        <f t="shared" si="145"/>
        <v>1378.4380259964425</v>
      </c>
      <c r="L251" s="71">
        <f t="shared" si="145"/>
        <v>1378.4380259964425</v>
      </c>
      <c r="M251" s="71">
        <f t="shared" si="145"/>
        <v>1378.4380259964425</v>
      </c>
      <c r="N251" s="71">
        <f t="shared" si="145"/>
        <v>1378.4380259964425</v>
      </c>
      <c r="O251" s="71">
        <f t="shared" si="145"/>
        <v>1378.4380259964425</v>
      </c>
    </row>
    <row r="252" spans="1:15" x14ac:dyDescent="0.2">
      <c r="A252" s="5" t="s">
        <v>127</v>
      </c>
      <c r="B252" s="5"/>
      <c r="C252" s="5"/>
      <c r="D252" s="71"/>
      <c r="E252" s="85"/>
      <c r="F252" s="54"/>
      <c r="G252" s="54"/>
      <c r="H252" s="54"/>
      <c r="I252" s="54"/>
      <c r="J252" s="54"/>
      <c r="K252" s="54"/>
      <c r="L252" s="54"/>
      <c r="M252" s="54"/>
      <c r="N252" s="54"/>
      <c r="O252" s="54"/>
    </row>
    <row r="253" spans="1:15" x14ac:dyDescent="0.2">
      <c r="A253" s="7" t="s">
        <v>228</v>
      </c>
      <c r="B253" s="7"/>
      <c r="C253" s="7"/>
      <c r="D253" s="71"/>
      <c r="E253" s="85"/>
      <c r="F253" s="54">
        <f t="shared" ref="F253:K253" si="146">F128</f>
        <v>14.722519510499822</v>
      </c>
      <c r="G253" s="54">
        <f t="shared" si="146"/>
        <v>14.722519510499822</v>
      </c>
      <c r="H253" s="54">
        <f t="shared" si="146"/>
        <v>14.722519510499822</v>
      </c>
      <c r="I253" s="54">
        <f t="shared" si="146"/>
        <v>14.722519510499822</v>
      </c>
      <c r="J253" s="54">
        <f t="shared" si="146"/>
        <v>14.722519510499822</v>
      </c>
      <c r="K253" s="54">
        <f t="shared" si="146"/>
        <v>14.722519510499822</v>
      </c>
      <c r="L253" s="54">
        <f t="shared" ref="L253:O253" si="147">L128</f>
        <v>14.722519510499822</v>
      </c>
      <c r="M253" s="54">
        <f t="shared" si="147"/>
        <v>14.607499826824043</v>
      </c>
      <c r="N253" s="54">
        <f t="shared" si="147"/>
        <v>14.607499826824043</v>
      </c>
      <c r="O253" s="54">
        <f t="shared" si="147"/>
        <v>14.607499826824043</v>
      </c>
    </row>
    <row r="254" spans="1:15" x14ac:dyDescent="0.2">
      <c r="A254" s="7" t="s">
        <v>51</v>
      </c>
      <c r="B254" s="7"/>
      <c r="C254" s="7"/>
      <c r="D254" s="71">
        <f>'Cost Input'!I133</f>
        <v>28800</v>
      </c>
      <c r="E254" s="85">
        <f>'Cost Input'!J133</f>
        <v>0.5</v>
      </c>
      <c r="F254" s="71">
        <f t="shared" ref="F254:O256" si="148">$D254*F$253^$E254</f>
        <v>110505.41426911613</v>
      </c>
      <c r="G254" s="71">
        <f t="shared" si="148"/>
        <v>110505.41426911613</v>
      </c>
      <c r="H254" s="71">
        <f t="shared" si="148"/>
        <v>110505.41426911613</v>
      </c>
      <c r="I254" s="71">
        <f t="shared" si="148"/>
        <v>110505.41426911613</v>
      </c>
      <c r="J254" s="71">
        <f t="shared" si="148"/>
        <v>110505.41426911613</v>
      </c>
      <c r="K254" s="71">
        <f t="shared" si="148"/>
        <v>110505.41426911613</v>
      </c>
      <c r="L254" s="71">
        <f t="shared" si="148"/>
        <v>110505.41426911613</v>
      </c>
      <c r="M254" s="71">
        <f t="shared" si="148"/>
        <v>110072.90609573699</v>
      </c>
      <c r="N254" s="71">
        <f t="shared" si="148"/>
        <v>110072.90609573699</v>
      </c>
      <c r="O254" s="71">
        <f t="shared" si="148"/>
        <v>110072.90609573699</v>
      </c>
    </row>
    <row r="255" spans="1:15" x14ac:dyDescent="0.2">
      <c r="A255" s="7" t="s">
        <v>53</v>
      </c>
      <c r="B255" s="7"/>
      <c r="C255" s="7"/>
      <c r="D255" s="85">
        <f>'Cost Input'!I134</f>
        <v>5</v>
      </c>
      <c r="E255" s="85">
        <f>'Cost Input'!J134</f>
        <v>0.7</v>
      </c>
      <c r="F255" s="85">
        <f t="shared" si="148"/>
        <v>32.851673758023594</v>
      </c>
      <c r="G255" s="85">
        <f t="shared" si="148"/>
        <v>32.851673758023594</v>
      </c>
      <c r="H255" s="85">
        <f t="shared" si="148"/>
        <v>32.851673758023594</v>
      </c>
      <c r="I255" s="85">
        <f t="shared" si="148"/>
        <v>32.851673758023594</v>
      </c>
      <c r="J255" s="85">
        <f t="shared" si="148"/>
        <v>32.851673758023594</v>
      </c>
      <c r="K255" s="85">
        <f t="shared" si="148"/>
        <v>32.851673758023594</v>
      </c>
      <c r="L255" s="85">
        <f t="shared" si="148"/>
        <v>32.851673758023594</v>
      </c>
      <c r="M255" s="85">
        <f t="shared" si="148"/>
        <v>32.671804914948801</v>
      </c>
      <c r="N255" s="85">
        <f t="shared" si="148"/>
        <v>32.671804914948801</v>
      </c>
      <c r="O255" s="85">
        <f t="shared" si="148"/>
        <v>32.671804914948801</v>
      </c>
    </row>
    <row r="256" spans="1:15" x14ac:dyDescent="0.2">
      <c r="A256" s="7" t="s">
        <v>54</v>
      </c>
      <c r="B256" s="7"/>
      <c r="C256" s="7"/>
      <c r="D256" s="71">
        <f>'Cost Input'!I135</f>
        <v>900</v>
      </c>
      <c r="E256" s="85">
        <f>'Cost Input'!J135</f>
        <v>0.6</v>
      </c>
      <c r="F256" s="71">
        <f t="shared" si="148"/>
        <v>4518.8902372829771</v>
      </c>
      <c r="G256" s="71">
        <f t="shared" si="148"/>
        <v>4518.8902372829771</v>
      </c>
      <c r="H256" s="71">
        <f t="shared" si="148"/>
        <v>4518.8902372829771</v>
      </c>
      <c r="I256" s="71">
        <f t="shared" si="148"/>
        <v>4518.8902372829771</v>
      </c>
      <c r="J256" s="71">
        <f t="shared" si="148"/>
        <v>4518.8902372829771</v>
      </c>
      <c r="K256" s="71">
        <f t="shared" si="148"/>
        <v>4518.8902372829771</v>
      </c>
      <c r="L256" s="71">
        <f t="shared" si="148"/>
        <v>4518.8902372829771</v>
      </c>
      <c r="M256" s="71">
        <f t="shared" si="148"/>
        <v>4497.6747207190701</v>
      </c>
      <c r="N256" s="71">
        <f t="shared" si="148"/>
        <v>4497.6747207190701</v>
      </c>
      <c r="O256" s="71">
        <f t="shared" si="148"/>
        <v>4497.6747207190701</v>
      </c>
    </row>
    <row r="257" spans="1:15" x14ac:dyDescent="0.2">
      <c r="A257" s="5" t="s">
        <v>349</v>
      </c>
    </row>
    <row r="258" spans="1:15" x14ac:dyDescent="0.2">
      <c r="A258" s="7" t="s">
        <v>51</v>
      </c>
      <c r="F258" s="93">
        <f t="shared" ref="F258:J260" ca="1" si="149">F129+F136+F141+F148+F154+F159+F165+F170+F175+F180+F185+F190+F197+F202+F207+F212+F217+F223+F228+F233+F238+F244+F249+F254</f>
        <v>1688846.3784038709</v>
      </c>
      <c r="G258" s="93">
        <f t="shared" ca="1" si="149"/>
        <v>1534373.2828123663</v>
      </c>
      <c r="H258" s="93">
        <f t="shared" ca="1" si="149"/>
        <v>1430087.5837324299</v>
      </c>
      <c r="I258" s="93">
        <f t="shared" ca="1" si="149"/>
        <v>1360253.7281001778</v>
      </c>
      <c r="J258" s="93">
        <f t="shared" ca="1" si="149"/>
        <v>1313660.718100443</v>
      </c>
      <c r="K258" s="93">
        <f t="shared" ref="K258:L258" ca="1" si="150">K129+K136+K141+K148+K154+K159+K165+K170+K175+K180+K185+K190+K197+K202+K207+K212+K217+K223+K228+K233+K238+K244+K249+K254</f>
        <v>1289978.3498170609</v>
      </c>
      <c r="L258" s="93">
        <f t="shared" ca="1" si="150"/>
        <v>1287849.3844511532</v>
      </c>
      <c r="M258" s="93">
        <f t="shared" ref="M258:O258" ca="1" si="151">M129+M136+M141+M148+M154+M159+M165+M170+M175+M180+M185+M190+M197+M202+M207+M212+M217+M223+M228+M233+M238+M244+M249+M254</f>
        <v>1284140.2904614562</v>
      </c>
      <c r="N258" s="93">
        <f t="shared" ca="1" si="151"/>
        <v>1282492.3659680854</v>
      </c>
      <c r="O258" s="93">
        <f t="shared" ca="1" si="151"/>
        <v>1281075.7441324501</v>
      </c>
    </row>
    <row r="259" spans="1:15" x14ac:dyDescent="0.2">
      <c r="A259" s="7" t="s">
        <v>53</v>
      </c>
      <c r="D259" s="39"/>
      <c r="F259" s="39">
        <f t="shared" ca="1" si="149"/>
        <v>464.66204800884003</v>
      </c>
      <c r="G259" s="39">
        <f t="shared" ca="1" si="149"/>
        <v>433.94097352407647</v>
      </c>
      <c r="H259" s="39">
        <f t="shared" ca="1" si="149"/>
        <v>413.79447309330857</v>
      </c>
      <c r="I259" s="39">
        <f t="shared" ca="1" si="149"/>
        <v>400.5958843595252</v>
      </c>
      <c r="J259" s="39">
        <f t="shared" ca="1" si="149"/>
        <v>392.60134396586881</v>
      </c>
      <c r="K259" s="39">
        <f t="shared" ref="K259:L259" ca="1" si="152">K130+K137+K142+K149+K155+K160+K166+K171+K176+K181+K186+K191+K198+K203+K208+K213+K218+K224+K229+K234+K239+K245+K250+K255</f>
        <v>388.02193041148058</v>
      </c>
      <c r="L259" s="39">
        <f t="shared" ca="1" si="152"/>
        <v>386.64621370329058</v>
      </c>
      <c r="M259" s="39">
        <f t="shared" ref="M259:O259" ca="1" si="153">M130+M137+M142+M149+M155+M160+M166+M171+M176+M181+M186+M191+M198+M203+M208+M213+M218+M224+M229+M234+M239+M245+M250+M255</f>
        <v>384.57096174024201</v>
      </c>
      <c r="N259" s="39">
        <f t="shared" ca="1" si="153"/>
        <v>383.50118488648963</v>
      </c>
      <c r="O259" s="39">
        <f t="shared" ca="1" si="153"/>
        <v>382.58012132165055</v>
      </c>
    </row>
    <row r="260" spans="1:15" x14ac:dyDescent="0.2">
      <c r="A260" s="7" t="s">
        <v>54</v>
      </c>
      <c r="F260" s="93">
        <f t="shared" ca="1" si="149"/>
        <v>53903.22990926262</v>
      </c>
      <c r="G260" s="93">
        <f t="shared" ca="1" si="149"/>
        <v>48569.086121739136</v>
      </c>
      <c r="H260" s="93">
        <f t="shared" ca="1" si="149"/>
        <v>45162.842705077172</v>
      </c>
      <c r="I260" s="93">
        <f t="shared" ca="1" si="149"/>
        <v>42987.500778613095</v>
      </c>
      <c r="J260" s="93">
        <f t="shared" ca="1" si="149"/>
        <v>41634.728548335108</v>
      </c>
      <c r="K260" s="93">
        <f t="shared" ref="K260:L260" ca="1" si="154">K131+K138+K143+K150+K156+K161+K167+K172+K177+K182+K187+K192+K199+K204+K209+K214+K219+K225+K230+K235+K240+K246+K251+K256</f>
        <v>40930.30793780501</v>
      </c>
      <c r="L260" s="93">
        <f t="shared" ca="1" si="154"/>
        <v>40804.635655374354</v>
      </c>
      <c r="M260" s="93">
        <f t="shared" ref="M260:O260" ca="1" si="155">M131+M138+M143+M150+M156+M161+M167+M172+M177+M182+M187+M192+M199+M204+M209+M214+M219+M225+M230+M235+M240+M246+M251+M256</f>
        <v>40602.535724584974</v>
      </c>
      <c r="N260" s="93">
        <f t="shared" ca="1" si="155"/>
        <v>40505.004124418927</v>
      </c>
      <c r="O260" s="93">
        <f t="shared" ca="1" si="155"/>
        <v>40421.086959979264</v>
      </c>
    </row>
    <row r="262" spans="1:15" x14ac:dyDescent="0.2">
      <c r="A262" s="5" t="s">
        <v>353</v>
      </c>
    </row>
    <row r="263" spans="1:15" x14ac:dyDescent="0.2">
      <c r="A263" s="7" t="s">
        <v>51</v>
      </c>
      <c r="F263" s="125">
        <f t="shared" ref="F263:K263" ca="1" si="156">F258-2/3*F244</f>
        <v>1631246.3784038709</v>
      </c>
      <c r="G263" s="125">
        <f t="shared" ca="1" si="156"/>
        <v>1476773.2828123663</v>
      </c>
      <c r="H263" s="125">
        <f t="shared" ca="1" si="156"/>
        <v>1372487.5837324299</v>
      </c>
      <c r="I263" s="125">
        <f t="shared" ca="1" si="156"/>
        <v>1302653.7281001778</v>
      </c>
      <c r="J263" s="125">
        <f t="shared" ca="1" si="156"/>
        <v>1256060.718100443</v>
      </c>
      <c r="K263" s="125">
        <f t="shared" ca="1" si="156"/>
        <v>1232378.3498170609</v>
      </c>
      <c r="L263" s="125">
        <f t="shared" ref="L263:O263" ca="1" si="157">L258-2/3*L244</f>
        <v>1230249.3844511532</v>
      </c>
      <c r="M263" s="125">
        <f t="shared" ca="1" si="157"/>
        <v>1226540.2904614562</v>
      </c>
      <c r="N263" s="125">
        <f t="shared" ca="1" si="157"/>
        <v>1224892.3659680854</v>
      </c>
      <c r="O263" s="125">
        <f t="shared" ca="1" si="157"/>
        <v>1223475.7441324501</v>
      </c>
    </row>
    <row r="264" spans="1:15" x14ac:dyDescent="0.2">
      <c r="A264" s="7" t="s">
        <v>53</v>
      </c>
      <c r="D264" s="129"/>
      <c r="F264" s="129">
        <f t="shared" ref="F264:J265" ca="1" si="158">F259-0.5*F245</f>
        <v>454.91501925256523</v>
      </c>
      <c r="G264" s="129">
        <f t="shared" ca="1" si="158"/>
        <v>424.19394476780167</v>
      </c>
      <c r="H264" s="129">
        <f t="shared" ca="1" si="158"/>
        <v>404.04744433703377</v>
      </c>
      <c r="I264" s="129">
        <f t="shared" ca="1" si="158"/>
        <v>390.8488556032504</v>
      </c>
      <c r="J264" s="129">
        <f t="shared" ca="1" si="158"/>
        <v>382.85431520959401</v>
      </c>
      <c r="K264" s="129">
        <f t="shared" ref="K264:L264" ca="1" si="159">K259-0.5*K245</f>
        <v>378.27490165520578</v>
      </c>
      <c r="L264" s="129">
        <f t="shared" ca="1" si="159"/>
        <v>376.89918494701578</v>
      </c>
      <c r="M264" s="129">
        <f t="shared" ref="M264:O264" ca="1" si="160">M259-0.5*M245</f>
        <v>374.82393298396721</v>
      </c>
      <c r="N264" s="129">
        <f t="shared" ca="1" si="160"/>
        <v>373.75415613021482</v>
      </c>
      <c r="O264" s="129">
        <f t="shared" ca="1" si="160"/>
        <v>372.83309256537575</v>
      </c>
    </row>
    <row r="265" spans="1:15" x14ac:dyDescent="0.2">
      <c r="A265" s="7" t="s">
        <v>54</v>
      </c>
      <c r="F265" s="125">
        <f t="shared" ca="1" si="158"/>
        <v>52869.401389765291</v>
      </c>
      <c r="G265" s="125">
        <f t="shared" ca="1" si="158"/>
        <v>47535.257602241807</v>
      </c>
      <c r="H265" s="125">
        <f t="shared" ca="1" si="158"/>
        <v>44129.014185579843</v>
      </c>
      <c r="I265" s="125">
        <f t="shared" ca="1" si="158"/>
        <v>41953.672259115767</v>
      </c>
      <c r="J265" s="125">
        <f t="shared" ca="1" si="158"/>
        <v>40600.900028837779</v>
      </c>
      <c r="K265" s="125">
        <f t="shared" ref="K265:L265" ca="1" si="161">K260-0.5*K246</f>
        <v>39896.479418307681</v>
      </c>
      <c r="L265" s="125">
        <f t="shared" ca="1" si="161"/>
        <v>39770.807135877025</v>
      </c>
      <c r="M265" s="125">
        <f t="shared" ref="M265:O265" ca="1" si="162">M260-0.5*M246</f>
        <v>39568.707205087645</v>
      </c>
      <c r="N265" s="125">
        <f t="shared" ca="1" si="162"/>
        <v>39471.175604921598</v>
      </c>
      <c r="O265" s="125">
        <f t="shared" ca="1" si="162"/>
        <v>39387.258440481935</v>
      </c>
    </row>
  </sheetData>
  <mergeCells count="2">
    <mergeCell ref="A1:L1"/>
    <mergeCell ref="A2:L2"/>
  </mergeCells>
  <phoneticPr fontId="6" type="noConversion"/>
  <pageMargins left="0.5" right="0.5" top="0.5" bottom="0.5" header="0.5" footer="0.5"/>
  <pageSetup orientation="portrait" horizontalDpi="4294967292" verticalDpi="4294967292"/>
  <headerFooter alignWithMargins="0">
    <oddFooter>&amp;C &amp;P&amp;R&amp;F, &amp;D</oddFooter>
  </headerFooter>
  <rowBreaks count="7" manualBreakCount="7">
    <brk id="31" max="11" man="1"/>
    <brk id="51" max="11" man="1"/>
    <brk id="88" max="11" man="1"/>
    <brk id="123" max="11" man="1"/>
    <brk id="161" max="11" man="1"/>
    <brk id="192" max="11" man="1"/>
    <brk id="225" max="11" man="1"/>
  </rowBreaks>
  <drawing r:id="rId1"/>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A1:S141"/>
  <sheetViews>
    <sheetView workbookViewId="0">
      <selection activeCell="D23" sqref="D23"/>
    </sheetView>
  </sheetViews>
  <sheetFormatPr defaultColWidth="8.85546875" defaultRowHeight="12.75" x14ac:dyDescent="0.2"/>
  <cols>
    <col min="6" max="15" width="9.28515625" customWidth="1"/>
  </cols>
  <sheetData>
    <row r="1" spans="1:15" ht="15.75" x14ac:dyDescent="0.25">
      <c r="A1" s="510" t="s">
        <v>558</v>
      </c>
      <c r="B1" s="510"/>
      <c r="C1" s="510"/>
      <c r="D1" s="510"/>
      <c r="E1" s="510"/>
      <c r="F1" s="510"/>
      <c r="G1" s="510"/>
      <c r="H1" s="510"/>
      <c r="I1" s="510"/>
      <c r="J1" s="510"/>
      <c r="K1" s="510"/>
      <c r="L1" s="510"/>
    </row>
    <row r="2" spans="1:15" ht="15.75" x14ac:dyDescent="0.25">
      <c r="A2" s="512" t="str">
        <f>'Battery Design'!A2:L2</f>
        <v>Li/O2 open architecture system</v>
      </c>
      <c r="B2" s="512"/>
      <c r="C2" s="512"/>
      <c r="D2" s="512"/>
      <c r="E2" s="512"/>
      <c r="F2" s="512"/>
      <c r="G2" s="512"/>
      <c r="H2" s="512"/>
      <c r="I2" s="512"/>
      <c r="J2" s="512"/>
      <c r="K2" s="512"/>
      <c r="L2" s="512"/>
    </row>
    <row r="3" spans="1:15" x14ac:dyDescent="0.2">
      <c r="A3" s="55"/>
      <c r="B3" s="55"/>
      <c r="C3" s="55"/>
      <c r="D3" s="55"/>
      <c r="E3" s="55"/>
      <c r="F3" s="300" t="s">
        <v>106</v>
      </c>
      <c r="G3" s="300" t="s">
        <v>107</v>
      </c>
      <c r="H3" s="300" t="s">
        <v>108</v>
      </c>
      <c r="I3" s="300" t="s">
        <v>109</v>
      </c>
      <c r="J3" s="300" t="s">
        <v>110</v>
      </c>
      <c r="K3" s="300" t="s">
        <v>502</v>
      </c>
      <c r="L3" s="303" t="s">
        <v>503</v>
      </c>
      <c r="M3" s="360" t="s">
        <v>538</v>
      </c>
      <c r="N3" s="360" t="s">
        <v>539</v>
      </c>
      <c r="O3" s="360" t="s">
        <v>604</v>
      </c>
    </row>
    <row r="4" spans="1:15" ht="15.75" x14ac:dyDescent="0.25">
      <c r="A4" s="18" t="s">
        <v>20</v>
      </c>
      <c r="B4" s="58"/>
      <c r="C4" s="58"/>
      <c r="D4" s="58"/>
      <c r="E4" s="58"/>
      <c r="F4" s="59"/>
      <c r="G4" s="59"/>
      <c r="H4" s="59"/>
      <c r="I4" s="59"/>
      <c r="J4" s="59"/>
      <c r="K4" s="59"/>
      <c r="L4" s="59"/>
      <c r="M4" s="59"/>
      <c r="N4" s="59"/>
      <c r="O4" s="59"/>
    </row>
    <row r="5" spans="1:15" x14ac:dyDescent="0.2">
      <c r="A5" t="s">
        <v>187</v>
      </c>
      <c r="B5" s="58"/>
      <c r="C5" s="58"/>
      <c r="D5" s="58"/>
      <c r="E5" s="58"/>
      <c r="F5" s="27">
        <f ca="1">'Summary of Results'!F5</f>
        <v>362.41714890205867</v>
      </c>
      <c r="G5" s="27">
        <f ca="1">'Summary of Results'!G5</f>
        <v>362.28962486990071</v>
      </c>
      <c r="H5" s="27">
        <f ca="1">'Summary of Results'!H5</f>
        <v>362.09259522822327</v>
      </c>
      <c r="I5" s="27">
        <f ca="1">'Summary of Results'!I5</f>
        <v>361.84937102861397</v>
      </c>
      <c r="J5" s="27">
        <f ca="1">'Summary of Results'!J5</f>
        <v>361.47470369311901</v>
      </c>
      <c r="K5" s="27">
        <f ca="1">'Summary of Results'!K5</f>
        <v>361.32627098953378</v>
      </c>
      <c r="L5" s="27">
        <f ca="1">'Summary of Results'!L5</f>
        <v>361.37249102313405</v>
      </c>
      <c r="M5" s="27">
        <f ca="1">'Summary of Results'!M5</f>
        <v>358.43417305741468</v>
      </c>
      <c r="N5" s="27">
        <f ca="1">'Summary of Results'!N5</f>
        <v>358.47265280277099</v>
      </c>
      <c r="O5" s="27">
        <f ca="1">'Summary of Results'!O5</f>
        <v>358.50511342180596</v>
      </c>
    </row>
    <row r="6" spans="1:15" x14ac:dyDescent="0.2">
      <c r="A6" s="252" t="s">
        <v>468</v>
      </c>
      <c r="B6" s="58"/>
      <c r="C6" s="58"/>
      <c r="D6" s="58"/>
      <c r="E6" s="58"/>
      <c r="F6" s="27">
        <f>'Summary of Results'!F6</f>
        <v>1</v>
      </c>
      <c r="G6" s="27">
        <f>'Summary of Results'!G6</f>
        <v>1</v>
      </c>
      <c r="H6" s="27">
        <f>'Summary of Results'!H6</f>
        <v>1</v>
      </c>
      <c r="I6" s="27">
        <f>'Summary of Results'!I6</f>
        <v>1</v>
      </c>
      <c r="J6" s="27">
        <f>'Summary of Results'!J6</f>
        <v>1</v>
      </c>
      <c r="K6" s="27">
        <f>'Summary of Results'!K6</f>
        <v>1</v>
      </c>
      <c r="L6" s="27">
        <f>'Summary of Results'!L6</f>
        <v>1</v>
      </c>
      <c r="M6" s="27">
        <f>'Summary of Results'!M6</f>
        <v>1</v>
      </c>
      <c r="N6" s="27">
        <f>'Summary of Results'!N6</f>
        <v>1</v>
      </c>
      <c r="O6" s="27">
        <f>'Summary of Results'!O6</f>
        <v>1</v>
      </c>
    </row>
    <row r="7" spans="1:15" x14ac:dyDescent="0.2">
      <c r="A7" s="252" t="s">
        <v>499</v>
      </c>
      <c r="B7" s="58"/>
      <c r="C7" s="58"/>
      <c r="D7" s="58"/>
      <c r="E7" s="58"/>
      <c r="F7" s="27" t="str">
        <f>'Summary of Results'!F7</f>
        <v xml:space="preserve"> </v>
      </c>
      <c r="G7" s="27" t="str">
        <f>'Summary of Results'!G7</f>
        <v xml:space="preserve"> </v>
      </c>
      <c r="H7" s="27" t="str">
        <f>'Summary of Results'!H7</f>
        <v xml:space="preserve"> </v>
      </c>
      <c r="I7" s="27" t="str">
        <f>'Summary of Results'!I7</f>
        <v xml:space="preserve"> </v>
      </c>
      <c r="J7" s="27" t="str">
        <f>'Summary of Results'!J7</f>
        <v xml:space="preserve"> </v>
      </c>
      <c r="K7" s="27" t="str">
        <f>'Summary of Results'!K7</f>
        <v xml:space="preserve"> </v>
      </c>
      <c r="L7" s="27" t="str">
        <f>'Summary of Results'!L7</f>
        <v xml:space="preserve"> </v>
      </c>
      <c r="M7" s="27" t="str">
        <f>'Summary of Results'!M7</f>
        <v xml:space="preserve"> </v>
      </c>
      <c r="N7" s="27" t="str">
        <f>'Summary of Results'!N7</f>
        <v xml:space="preserve"> </v>
      </c>
      <c r="O7" s="27" t="str">
        <f>'Summary of Results'!O7</f>
        <v xml:space="preserve"> </v>
      </c>
    </row>
    <row r="8" spans="1:15" x14ac:dyDescent="0.2">
      <c r="A8" t="s">
        <v>521</v>
      </c>
      <c r="B8" s="58"/>
      <c r="C8" s="58"/>
      <c r="D8" s="58"/>
      <c r="E8" s="58"/>
      <c r="F8" s="27">
        <f>'Summary of Results'!F8</f>
        <v>240</v>
      </c>
      <c r="G8" s="27">
        <f>'Summary of Results'!G8</f>
        <v>240</v>
      </c>
      <c r="H8" s="27">
        <f>'Summary of Results'!H8</f>
        <v>240</v>
      </c>
      <c r="I8" s="27">
        <f>'Summary of Results'!I8</f>
        <v>240</v>
      </c>
      <c r="J8" s="27">
        <f>'Summary of Results'!J8</f>
        <v>240</v>
      </c>
      <c r="K8" s="27">
        <f>'Summary of Results'!K8</f>
        <v>240</v>
      </c>
      <c r="L8" s="27">
        <f>'Summary of Results'!L8</f>
        <v>240</v>
      </c>
      <c r="M8" s="27">
        <f>'Summary of Results'!M8</f>
        <v>240</v>
      </c>
      <c r="N8" s="27">
        <f>'Summary of Results'!N8</f>
        <v>240</v>
      </c>
      <c r="O8" s="27">
        <f>'Summary of Results'!O8</f>
        <v>240</v>
      </c>
    </row>
    <row r="9" spans="1:15" x14ac:dyDescent="0.2">
      <c r="A9" s="252" t="s">
        <v>675</v>
      </c>
      <c r="B9" s="58"/>
      <c r="C9" s="58"/>
      <c r="D9" s="58"/>
      <c r="E9" s="58"/>
      <c r="F9" s="4">
        <f>'Battery Design'!F62</f>
        <v>8</v>
      </c>
      <c r="G9" s="4">
        <f>'Battery Design'!G62</f>
        <v>8</v>
      </c>
      <c r="H9" s="4">
        <f>'Battery Design'!H62</f>
        <v>8</v>
      </c>
      <c r="I9" s="4">
        <f>'Battery Design'!I62</f>
        <v>8</v>
      </c>
      <c r="J9" s="4">
        <f>'Battery Design'!J62</f>
        <v>8</v>
      </c>
      <c r="K9" s="4">
        <f>'Battery Design'!K62</f>
        <v>8</v>
      </c>
      <c r="L9" s="4">
        <f>'Battery Design'!L62</f>
        <v>8</v>
      </c>
      <c r="M9" s="4">
        <f>'Battery Design'!M62</f>
        <v>8</v>
      </c>
      <c r="N9" s="4">
        <f>'Battery Design'!N62</f>
        <v>8</v>
      </c>
      <c r="O9" s="4">
        <f>'Battery Design'!O62</f>
        <v>8</v>
      </c>
    </row>
    <row r="10" spans="1:15" x14ac:dyDescent="0.2">
      <c r="A10" s="252" t="s">
        <v>469</v>
      </c>
      <c r="B10" s="58"/>
      <c r="C10" s="58"/>
      <c r="D10" s="58"/>
      <c r="E10" s="58"/>
      <c r="F10" s="358">
        <f ca="1">'Summary of Results'!F9</f>
        <v>127.91193490660893</v>
      </c>
      <c r="G10" s="358">
        <f ca="1">'Summary of Results'!G9</f>
        <v>127.86692642467084</v>
      </c>
      <c r="H10" s="358">
        <f ca="1">'Summary of Results'!H9</f>
        <v>127.79738655113762</v>
      </c>
      <c r="I10" s="358">
        <f ca="1">'Summary of Results'!I9</f>
        <v>127.71154271598141</v>
      </c>
      <c r="J10" s="358">
        <f ca="1">'Summary of Results'!J9</f>
        <v>127.5793071858067</v>
      </c>
      <c r="K10" s="358">
        <f ca="1">'Summary of Results'!K9</f>
        <v>127.52691917277663</v>
      </c>
      <c r="L10" s="358">
        <f ca="1">'Summary of Results'!L9</f>
        <v>127.54323212581204</v>
      </c>
      <c r="M10" s="358">
        <f ca="1">'Summary of Results'!M9</f>
        <v>126.50617872614636</v>
      </c>
      <c r="N10" s="358">
        <f ca="1">'Summary of Results'!N9</f>
        <v>126.51975981274269</v>
      </c>
      <c r="O10" s="358">
        <f ca="1">'Summary of Results'!O9</f>
        <v>126.53121650181387</v>
      </c>
    </row>
    <row r="11" spans="1:15" x14ac:dyDescent="0.2">
      <c r="A11" s="252" t="s">
        <v>464</v>
      </c>
      <c r="B11" s="58"/>
      <c r="C11" s="58"/>
      <c r="D11" s="58"/>
      <c r="E11" s="58"/>
      <c r="F11" s="358">
        <f ca="1">'Summary of Results'!F10</f>
        <v>203.05582623179001</v>
      </c>
      <c r="G11" s="358">
        <f ca="1">'Summary of Results'!G10</f>
        <v>202.49260080565213</v>
      </c>
      <c r="H11" s="358">
        <f ca="1">'Summary of Results'!H10</f>
        <v>201.68382052422211</v>
      </c>
      <c r="I11" s="358">
        <f ca="1">'Summary of Results'!I10</f>
        <v>200.58799905934441</v>
      </c>
      <c r="J11" s="358">
        <f ca="1">'Summary of Results'!J10</f>
        <v>201.87162508613568</v>
      </c>
      <c r="K11" s="358">
        <f ca="1">'Summary of Results'!K10</f>
        <v>200.26495485088884</v>
      </c>
      <c r="L11" s="358">
        <f ca="1">'Summary of Results'!L10</f>
        <v>196.57471886976734</v>
      </c>
      <c r="M11" s="358">
        <f ca="1">'Summary of Results'!M10</f>
        <v>191.91900588234245</v>
      </c>
      <c r="N11" s="358">
        <f ca="1">'Summary of Results'!N10</f>
        <v>189.11439047495833</v>
      </c>
      <c r="O11" s="358">
        <f ca="1">'Summary of Results'!O10</f>
        <v>186.71831367323819</v>
      </c>
    </row>
    <row r="12" spans="1:15" x14ac:dyDescent="0.2">
      <c r="A12" s="252" t="s">
        <v>500</v>
      </c>
      <c r="B12" s="58"/>
      <c r="C12" s="58"/>
      <c r="D12" s="58"/>
      <c r="E12" s="58"/>
      <c r="F12" s="358">
        <f>'Summary of Results'!F15</f>
        <v>355.2</v>
      </c>
      <c r="G12" s="358">
        <f>'Summary of Results'!G15</f>
        <v>355.2</v>
      </c>
      <c r="H12" s="358">
        <f>'Summary of Results'!H15</f>
        <v>355.2</v>
      </c>
      <c r="I12" s="358">
        <f>'Summary of Results'!I15</f>
        <v>355.2</v>
      </c>
      <c r="J12" s="358">
        <f>'Summary of Results'!J15</f>
        <v>355.2</v>
      </c>
      <c r="K12" s="358">
        <f>'Summary of Results'!K15</f>
        <v>355.2</v>
      </c>
      <c r="L12" s="358">
        <f>'Summary of Results'!L15</f>
        <v>355.2</v>
      </c>
      <c r="M12" s="358">
        <f>'Summary of Results'!M15</f>
        <v>355.2</v>
      </c>
      <c r="N12" s="358">
        <f>'Summary of Results'!N15</f>
        <v>355.2</v>
      </c>
      <c r="O12" s="358">
        <f>'Summary of Results'!O15</f>
        <v>355.2</v>
      </c>
    </row>
    <row r="13" spans="1:15" x14ac:dyDescent="0.2">
      <c r="A13" s="252" t="s">
        <v>470</v>
      </c>
      <c r="B13" s="58"/>
      <c r="C13" s="58"/>
      <c r="D13" s="58"/>
      <c r="E13" s="58"/>
      <c r="F13" s="358">
        <f ca="1">'Summary of Results'!F16</f>
        <v>87.730000000793652</v>
      </c>
      <c r="G13" s="358">
        <f ca="1">'Summary of Results'!G16</f>
        <v>87.729999999853433</v>
      </c>
      <c r="H13" s="358">
        <f ca="1">'Summary of Results'!H16</f>
        <v>87.729999999567667</v>
      </c>
      <c r="I13" s="358">
        <f ca="1">'Summary of Results'!I16</f>
        <v>87.729999997606086</v>
      </c>
      <c r="J13" s="358">
        <f ca="1">'Summary of Results'!J16</f>
        <v>87.729999990609102</v>
      </c>
      <c r="K13" s="358">
        <f ca="1">'Summary of Results'!K16</f>
        <v>91.84413218716621</v>
      </c>
      <c r="L13" s="358">
        <f ca="1">'Summary of Results'!L16</f>
        <v>104.62503381176258</v>
      </c>
      <c r="M13" s="358">
        <f ca="1">'Summary of Results'!M16</f>
        <v>111.96644816481543</v>
      </c>
      <c r="N13" s="358">
        <f ca="1">'Summary of Results'!N16</f>
        <v>128.08702189979809</v>
      </c>
      <c r="O13" s="358">
        <f ca="1">'Summary of Results'!O16</f>
        <v>148.0906297589776</v>
      </c>
    </row>
    <row r="14" spans="1:15" x14ac:dyDescent="0.2">
      <c r="A14" s="267" t="s">
        <v>471</v>
      </c>
      <c r="B14" s="58"/>
      <c r="C14" s="58"/>
      <c r="D14" s="58"/>
      <c r="E14" s="58"/>
      <c r="F14" s="27">
        <f>'Summary of Results'!F17</f>
        <v>87.73</v>
      </c>
      <c r="G14" s="27">
        <f>'Summary of Results'!G17</f>
        <v>87.73</v>
      </c>
      <c r="H14" s="27">
        <f>'Summary of Results'!H17</f>
        <v>87.73</v>
      </c>
      <c r="I14" s="27">
        <f>'Summary of Results'!I17</f>
        <v>87.73</v>
      </c>
      <c r="J14" s="27">
        <f>'Summary of Results'!J17</f>
        <v>87.73</v>
      </c>
      <c r="K14" s="27">
        <f>'Summary of Results'!K17</f>
        <v>87.55</v>
      </c>
      <c r="L14" s="27">
        <f>'Summary of Results'!L17</f>
        <v>87.25</v>
      </c>
      <c r="M14" s="27">
        <f>'Summary of Results'!M17</f>
        <v>87.1</v>
      </c>
      <c r="N14" s="27">
        <f>'Summary of Results'!N17</f>
        <v>86.9</v>
      </c>
      <c r="O14" s="27">
        <f>'Summary of Results'!O17</f>
        <v>86.7</v>
      </c>
    </row>
    <row r="15" spans="1:15" x14ac:dyDescent="0.2">
      <c r="A15" s="148" t="s">
        <v>285</v>
      </c>
      <c r="B15" s="58"/>
      <c r="C15" s="58"/>
      <c r="D15" s="58"/>
      <c r="E15" s="58"/>
      <c r="F15" s="27">
        <f>'Summary of Results'!F18</f>
        <v>80</v>
      </c>
      <c r="G15" s="27">
        <f>'Summary of Results'!G18</f>
        <v>80</v>
      </c>
      <c r="H15" s="27">
        <f>'Summary of Results'!H18</f>
        <v>80</v>
      </c>
      <c r="I15" s="27">
        <f>'Summary of Results'!I18</f>
        <v>80</v>
      </c>
      <c r="J15" s="27">
        <f>'Summary of Results'!J18</f>
        <v>80</v>
      </c>
      <c r="K15" s="27">
        <f>'Summary of Results'!K18</f>
        <v>80</v>
      </c>
      <c r="L15" s="27">
        <f>'Summary of Results'!L18</f>
        <v>80</v>
      </c>
      <c r="M15" s="27">
        <f>'Summary of Results'!M18</f>
        <v>80</v>
      </c>
      <c r="N15" s="27">
        <f>'Summary of Results'!N18</f>
        <v>80</v>
      </c>
      <c r="O15" s="27">
        <f>'Summary of Results'!O18</f>
        <v>80</v>
      </c>
    </row>
    <row r="16" spans="1:15" x14ac:dyDescent="0.2">
      <c r="A16" s="106" t="s">
        <v>287</v>
      </c>
      <c r="B16" s="58"/>
      <c r="C16" s="58"/>
      <c r="D16" s="58"/>
      <c r="E16" s="58"/>
      <c r="F16" s="358">
        <f ca="1">'Summary of Results'!F19</f>
        <v>79.999999999908439</v>
      </c>
      <c r="G16" s="358">
        <f ca="1">'Summary of Results'!G19</f>
        <v>79.999999999934474</v>
      </c>
      <c r="H16" s="358">
        <f ca="1">'Summary of Results'!H19</f>
        <v>79.999999999814847</v>
      </c>
      <c r="I16" s="358">
        <f ca="1">'Summary of Results'!I19</f>
        <v>79.999999999012843</v>
      </c>
      <c r="J16" s="358">
        <f ca="1">'Summary of Results'!J19</f>
        <v>79.999999996324547</v>
      </c>
      <c r="K16" s="358">
        <f ca="1">'Summary of Results'!K19</f>
        <v>81.221904162262575</v>
      </c>
      <c r="L16" s="358">
        <f ca="1">'Summary of Results'!L19</f>
        <v>84.142514603192367</v>
      </c>
      <c r="M16" s="358">
        <f ca="1">'Summary of Results'!M19</f>
        <v>85.430797668102358</v>
      </c>
      <c r="N16" s="358">
        <f ca="1">'Summary of Results'!N19</f>
        <v>87.609679534180202</v>
      </c>
      <c r="O16" s="358">
        <f ca="1">'Summary of Results'!O19</f>
        <v>89.538289263045471</v>
      </c>
    </row>
    <row r="17" spans="1:16" x14ac:dyDescent="0.2">
      <c r="A17" s="252" t="s">
        <v>517</v>
      </c>
      <c r="B17" s="58"/>
      <c r="C17" s="58"/>
      <c r="D17" s="58"/>
      <c r="E17" s="58"/>
      <c r="F17" s="358">
        <f ca="1">'Summary of Results'!F20</f>
        <v>226.41265142380229</v>
      </c>
      <c r="G17" s="358">
        <f ca="1">'Summary of Results'!G20</f>
        <v>187.66565047829718</v>
      </c>
      <c r="H17" s="358">
        <f ca="1">'Summary of Results'!H20</f>
        <v>165.65427182092083</v>
      </c>
      <c r="I17" s="358">
        <f ca="1">'Summary of Results'!I20</f>
        <v>153.16045737519778</v>
      </c>
      <c r="J17" s="358">
        <f ca="1">'Summary of Results'!J20</f>
        <v>146.45385518203682</v>
      </c>
      <c r="K17" s="358">
        <f ca="1">'Summary of Results'!K20</f>
        <v>143.08934267829167</v>
      </c>
      <c r="L17" s="358">
        <f ca="1">'Summary of Results'!L20</f>
        <v>140.97691238672164</v>
      </c>
      <c r="M17" s="358">
        <f ca="1">'Summary of Results'!M20</f>
        <v>137.20018056314976</v>
      </c>
      <c r="N17" s="358">
        <f ca="1">'Summary of Results'!N20</f>
        <v>135.58425121975327</v>
      </c>
      <c r="O17" s="358">
        <f ca="1">'Summary of Results'!O20</f>
        <v>134.2021109365063</v>
      </c>
    </row>
    <row r="18" spans="1:16" x14ac:dyDescent="0.2">
      <c r="A18" s="252" t="s">
        <v>580</v>
      </c>
      <c r="B18" s="58"/>
      <c r="C18" s="58"/>
      <c r="D18" s="58"/>
      <c r="E18" s="58"/>
      <c r="F18" s="358">
        <f ca="1">'Summary of Results'!F21</f>
        <v>352.81657724137966</v>
      </c>
      <c r="G18" s="358">
        <f ca="1">'Summary of Results'!G21</f>
        <v>257.18943758000626</v>
      </c>
      <c r="H18" s="358">
        <f ca="1">'Summary of Results'!H21</f>
        <v>204.95622206169392</v>
      </c>
      <c r="I18" s="358">
        <f ca="1">'Summary of Results'!I21</f>
        <v>175.29137032185747</v>
      </c>
      <c r="J18" s="358">
        <f ca="1">'Summary of Results'!J21</f>
        <v>160.03314141678274</v>
      </c>
      <c r="K18" s="358">
        <f ca="1">'Summary of Results'!K21</f>
        <v>150.7905471241358</v>
      </c>
      <c r="L18" s="358">
        <f ca="1">'Summary of Results'!L21</f>
        <v>148.41949215030166</v>
      </c>
      <c r="M18" s="358">
        <f ca="1">'Summary of Results'!M21</f>
        <v>147.75402219504565</v>
      </c>
      <c r="N18" s="358">
        <f ca="1">'Summary of Results'!N21</f>
        <v>145.90575838337881</v>
      </c>
      <c r="O18" s="358">
        <f ca="1">'Summary of Results'!O21</f>
        <v>144.32543715561599</v>
      </c>
    </row>
    <row r="19" spans="1:16" x14ac:dyDescent="0.2">
      <c r="B19" s="58"/>
      <c r="C19" s="58"/>
      <c r="D19" s="58"/>
      <c r="E19" s="58"/>
      <c r="F19" s="358"/>
      <c r="G19" s="358"/>
      <c r="H19" s="358"/>
      <c r="I19" s="358"/>
      <c r="J19" s="358"/>
      <c r="K19" s="358"/>
      <c r="L19" s="358"/>
      <c r="M19" s="358"/>
      <c r="N19" s="358"/>
      <c r="O19" s="358"/>
      <c r="P19" s="5"/>
    </row>
    <row r="20" spans="1:16" ht="15.75" x14ac:dyDescent="0.25">
      <c r="A20" s="356" t="s">
        <v>552</v>
      </c>
      <c r="B20" s="262"/>
      <c r="C20" s="262"/>
      <c r="D20" s="262"/>
      <c r="E20" s="262"/>
      <c r="F20" s="262"/>
      <c r="G20" s="262"/>
      <c r="H20" s="262"/>
      <c r="I20" s="262"/>
      <c r="J20" s="262"/>
    </row>
    <row r="21" spans="1:16" x14ac:dyDescent="0.2">
      <c r="A21" s="7" t="s">
        <v>276</v>
      </c>
      <c r="D21" s="3"/>
      <c r="E21" s="3"/>
      <c r="F21" s="37">
        <f ca="1">F$8*'Manufacturing Cost Calculations'!F72</f>
        <v>0</v>
      </c>
      <c r="G21" s="37">
        <f ca="1">G$8*'Manufacturing Cost Calculations'!G72</f>
        <v>0</v>
      </c>
      <c r="H21" s="37">
        <f ca="1">H$8*'Manufacturing Cost Calculations'!H72</f>
        <v>0</v>
      </c>
      <c r="I21" s="37">
        <f ca="1">I$8*'Manufacturing Cost Calculations'!I72</f>
        <v>0</v>
      </c>
      <c r="J21" s="37">
        <f ca="1">J$8*'Manufacturing Cost Calculations'!J72</f>
        <v>0</v>
      </c>
      <c r="K21" s="37">
        <f ca="1">K$8*'Manufacturing Cost Calculations'!K72</f>
        <v>0</v>
      </c>
      <c r="L21" s="37">
        <f ca="1">L$8*'Manufacturing Cost Calculations'!L72</f>
        <v>0</v>
      </c>
      <c r="M21" s="37">
        <f ca="1">M$8*'Manufacturing Cost Calculations'!M72</f>
        <v>0</v>
      </c>
      <c r="N21" s="37">
        <f ca="1">N$8*'Manufacturing Cost Calculations'!N72</f>
        <v>0</v>
      </c>
      <c r="O21" s="37">
        <f ca="1">O$8*'Manufacturing Cost Calculations'!O72</f>
        <v>0</v>
      </c>
    </row>
    <row r="22" spans="1:16" x14ac:dyDescent="0.2">
      <c r="A22" s="7" t="s">
        <v>277</v>
      </c>
      <c r="D22" s="3"/>
      <c r="E22" s="3"/>
      <c r="F22" s="37">
        <f ca="1">F8*'Manufacturing Cost Calculations'!F77</f>
        <v>2099.3791124137197</v>
      </c>
      <c r="G22" s="37">
        <f ca="1">G8*'Manufacturing Cost Calculations'!G77</f>
        <v>2093.8467398605726</v>
      </c>
      <c r="H22" s="37">
        <f ca="1">H8*'Manufacturing Cost Calculations'!H77</f>
        <v>2085.9010187879858</v>
      </c>
      <c r="I22" s="37">
        <f ca="1">I8*'Manufacturing Cost Calculations'!I77</f>
        <v>2075.1327683992031</v>
      </c>
      <c r="J22" s="37">
        <f ca="1">J8*'Manufacturing Cost Calculations'!J77</f>
        <v>2087.7462138007345</v>
      </c>
      <c r="K22" s="37">
        <f ca="1">K8*'Manufacturing Cost Calculations'!K77</f>
        <v>2071.9577664064964</v>
      </c>
      <c r="L22" s="37">
        <f ca="1">L8*'Manufacturing Cost Calculations'!L77</f>
        <v>2035.6704369192751</v>
      </c>
      <c r="M22" s="37">
        <f ca="1">M8*'Manufacturing Cost Calculations'!M77</f>
        <v>1989.8405443355621</v>
      </c>
      <c r="N22" s="37">
        <f ca="1">N8*'Manufacturing Cost Calculations'!N77</f>
        <v>1962.2057228200551</v>
      </c>
      <c r="O22" s="37">
        <f ca="1">O8*'Manufacturing Cost Calculations'!O77</f>
        <v>1938.5801441264853</v>
      </c>
    </row>
    <row r="23" spans="1:16" x14ac:dyDescent="0.2">
      <c r="A23" s="7" t="s">
        <v>278</v>
      </c>
      <c r="D23" s="3"/>
      <c r="E23" s="3"/>
      <c r="F23" s="37">
        <f ca="1">F8*('Manufacturing Cost Calculations'!F73+'Manufacturing Cost Calculations'!F74+'Manufacturing Cost Calculations'!F75+'Manufacturing Cost Calculations'!F78+'Manufacturing Cost Calculations'!F79)</f>
        <v>263.52703981255706</v>
      </c>
      <c r="G23" s="37">
        <f ca="1">G8*('Manufacturing Cost Calculations'!G73+'Manufacturing Cost Calculations'!G74+'Manufacturing Cost Calculations'!G75+'Manufacturing Cost Calculations'!G78+'Manufacturing Cost Calculations'!G79)</f>
        <v>262.79608255825173</v>
      </c>
      <c r="H23" s="37">
        <f ca="1">H8*('Manufacturing Cost Calculations'!H73+'Manufacturing Cost Calculations'!H74+'Manufacturing Cost Calculations'!H75+'Manufacturing Cost Calculations'!H78+'Manufacturing Cost Calculations'!H79)</f>
        <v>261.74644277508247</v>
      </c>
      <c r="I23" s="37">
        <f ca="1">I8*('Manufacturing Cost Calculations'!I73+'Manufacturing Cost Calculations'!I74+'Manufacturing Cost Calculations'!I75+'Manufacturing Cost Calculations'!I78+'Manufacturing Cost Calculations'!I79)</f>
        <v>260.32427926398913</v>
      </c>
      <c r="J23" s="37">
        <f ca="1">J8*('Manufacturing Cost Calculations'!J73+'Manufacturing Cost Calculations'!J74+'Manufacturing Cost Calculations'!J75+'Manufacturing Cost Calculations'!J78+'Manufacturing Cost Calculations'!J79)</f>
        <v>261.99017663463064</v>
      </c>
      <c r="K23" s="37">
        <f ca="1">K8*('Manufacturing Cost Calculations'!K73+'Manufacturing Cost Calculations'!K74+'Manufacturing Cost Calculations'!K75+'Manufacturing Cost Calculations'!K78+'Manufacturing Cost Calculations'!K79)</f>
        <v>259.90503059916529</v>
      </c>
      <c r="L23" s="37">
        <f ca="1">L8*('Manufacturing Cost Calculations'!L73+'Manufacturing Cost Calculations'!L74+'Manufacturing Cost Calculations'!L75+'Manufacturing Cost Calculations'!L78+'Manufacturing Cost Calculations'!L79)</f>
        <v>255.11582074312423</v>
      </c>
      <c r="M23" s="37">
        <f ca="1">M8*('Manufacturing Cost Calculations'!M73+'Manufacturing Cost Calculations'!M74+'Manufacturing Cost Calculations'!M75+'Manufacturing Cost Calculations'!M78+'Manufacturing Cost Calculations'!M79)</f>
        <v>249.07360917715906</v>
      </c>
      <c r="N23" s="37">
        <f ca="1">N8*('Manufacturing Cost Calculations'!N73+'Manufacturing Cost Calculations'!N74+'Manufacturing Cost Calculations'!N75+'Manufacturing Cost Calculations'!N78+'Manufacturing Cost Calculations'!N79)</f>
        <v>245.43376288544118</v>
      </c>
      <c r="O23" s="37">
        <f ca="1">O8*('Manufacturing Cost Calculations'!O73+'Manufacturing Cost Calculations'!O74+'Manufacturing Cost Calculations'!O75+'Manufacturing Cost Calculations'!O78+'Manufacturing Cost Calculations'!O79)</f>
        <v>242.32412038741788</v>
      </c>
    </row>
    <row r="24" spans="1:16" x14ac:dyDescent="0.2">
      <c r="A24" s="7" t="s">
        <v>279</v>
      </c>
      <c r="D24" s="3"/>
      <c r="E24" s="3"/>
      <c r="F24" s="37">
        <f ca="1">F8*'Manufacturing Cost Calculations'!F80</f>
        <v>1035.9742641464713</v>
      </c>
      <c r="G24" s="37">
        <f ca="1">G8*'Manufacturing Cost Calculations'!G80</f>
        <v>610.24826703802148</v>
      </c>
      <c r="H24" s="37">
        <f ca="1">H8*'Manufacturing Cost Calculations'!H80</f>
        <v>374.8613753041908</v>
      </c>
      <c r="I24" s="37">
        <f ca="1">I8*'Manufacturing Cost Calculations'!I80</f>
        <v>243.94021450916074</v>
      </c>
      <c r="J24" s="37">
        <f ca="1">J8*'Manufacturing Cost Calculations'!J80</f>
        <v>169.03401903672091</v>
      </c>
      <c r="K24" s="37">
        <f ca="1">K8*'Manufacturing Cost Calculations'!K80</f>
        <v>135.89484605052584</v>
      </c>
      <c r="L24" s="37">
        <f ca="1">L8*'Manufacturing Cost Calculations'!L80</f>
        <v>133.36376741106969</v>
      </c>
      <c r="M24" s="37">
        <f ca="1">M8*'Manufacturing Cost Calculations'!M80</f>
        <v>129.81767540059684</v>
      </c>
      <c r="N24" s="37">
        <f ca="1">N8*'Manufacturing Cost Calculations'!N80</f>
        <v>127.90999821157145</v>
      </c>
      <c r="O24" s="37">
        <f ca="1">O8*'Manufacturing Cost Calculations'!O80</f>
        <v>126.2793591285501</v>
      </c>
    </row>
    <row r="25" spans="1:16" x14ac:dyDescent="0.2">
      <c r="A25" s="7" t="s">
        <v>280</v>
      </c>
      <c r="D25" s="3"/>
      <c r="E25" s="3"/>
      <c r="F25" s="37">
        <f ca="1">F8*'Manufacturing Cost Calculations'!F81</f>
        <v>993.58924449376195</v>
      </c>
      <c r="G25" s="37">
        <f ca="1">G8*'Manufacturing Cost Calculations'!G81</f>
        <v>579.73739679357072</v>
      </c>
      <c r="H25" s="37">
        <f ca="1">H8*'Manufacturing Cost Calculations'!H81</f>
        <v>356.41877750810556</v>
      </c>
      <c r="I25" s="37">
        <f ca="1">I8*'Manufacturing Cost Calculations'!I81</f>
        <v>234.44714145071194</v>
      </c>
      <c r="J25" s="37">
        <f ca="1">J8*'Manufacturing Cost Calculations'!J81</f>
        <v>166.27150371194938</v>
      </c>
      <c r="K25" s="37">
        <f ca="1">K8*'Manufacturing Cost Calculations'!K81</f>
        <v>135.28793000543354</v>
      </c>
      <c r="L25" s="37">
        <f ca="1">L8*'Manufacturing Cost Calculations'!L81</f>
        <v>132.94985611528298</v>
      </c>
      <c r="M25" s="37">
        <f ca="1">M8*'Manufacturing Cost Calculations'!M81</f>
        <v>131.45585951680567</v>
      </c>
      <c r="N25" s="37">
        <f ca="1">N8*'Manufacturing Cost Calculations'!N81</f>
        <v>129.64826282110414</v>
      </c>
      <c r="O25" s="37">
        <f ca="1">O8*'Manufacturing Cost Calculations'!O81</f>
        <v>128.10332883789911</v>
      </c>
    </row>
    <row r="26" spans="1:16" x14ac:dyDescent="0.2">
      <c r="A26" s="7" t="s">
        <v>100</v>
      </c>
      <c r="D26" s="3"/>
      <c r="E26" s="3"/>
      <c r="F26" s="37">
        <f ca="1">F8*'Manufacturing Cost Calculations'!F82</f>
        <v>2643.7923847489205</v>
      </c>
      <c r="G26" s="37">
        <f ca="1">G8*'Manufacturing Cost Calculations'!G82</f>
        <v>1521.3071492029126</v>
      </c>
      <c r="H26" s="37">
        <f ca="1">H8*'Manufacturing Cost Calculations'!H82</f>
        <v>915.77728771882983</v>
      </c>
      <c r="I26" s="37">
        <f ca="1">I8*'Manufacturing Cost Calculations'!I82</f>
        <v>585.469031461447</v>
      </c>
      <c r="J26" s="37">
        <f ca="1">J8*'Manufacturing Cost Calculations'!J82</f>
        <v>400.45713554751632</v>
      </c>
      <c r="K26" s="37">
        <f ca="1">K8*'Manufacturing Cost Calculations'!K82</f>
        <v>318.90435107976117</v>
      </c>
      <c r="L26" s="37">
        <f ca="1">L8*'Manufacturing Cost Calculations'!L82</f>
        <v>313.02797439784541</v>
      </c>
      <c r="M26" s="37">
        <f ca="1">M8*'Manufacturing Cost Calculations'!M82</f>
        <v>305.61416038243891</v>
      </c>
      <c r="N26" s="37">
        <f ca="1">N8*'Manufacturing Cost Calculations'!N82</f>
        <v>301.14805667904204</v>
      </c>
      <c r="O26" s="37">
        <f ca="1">O8*'Manufacturing Cost Calculations'!O82</f>
        <v>297.332514822711</v>
      </c>
    </row>
    <row r="27" spans="1:16" x14ac:dyDescent="0.2">
      <c r="A27" s="7" t="s">
        <v>101</v>
      </c>
      <c r="D27" s="3"/>
      <c r="E27" s="3"/>
      <c r="F27" s="37">
        <f ca="1">F8*'Manufacturing Cost Calculations'!F83</f>
        <v>244.43061322853725</v>
      </c>
      <c r="G27" s="37">
        <f ca="1">G8*'Manufacturing Cost Calculations'!G83</f>
        <v>232.29823182262655</v>
      </c>
      <c r="H27" s="37">
        <f ca="1">H8*'Manufacturing Cost Calculations'!H83</f>
        <v>224.97088822197122</v>
      </c>
      <c r="I27" s="37">
        <f ca="1">I8*'Manufacturing Cost Calculations'!I83</f>
        <v>220.03875412714629</v>
      </c>
      <c r="J27" s="37">
        <f ca="1">J8*'Manufacturing Cost Calculations'!J83</f>
        <v>219.29569939204043</v>
      </c>
      <c r="K27" s="37">
        <f ca="1">K8*'Manufacturing Cost Calculations'!K83</f>
        <v>216.45176411901349</v>
      </c>
      <c r="L27" s="37">
        <f ca="1">L8*'Manufacturing Cost Calculations'!L83</f>
        <v>212.44039099696627</v>
      </c>
      <c r="M27" s="37">
        <f ca="1">M8*'Manufacturing Cost Calculations'!M83</f>
        <v>207.65863520491322</v>
      </c>
      <c r="N27" s="37">
        <f ca="1">N8*'Manufacturing Cost Calculations'!N83</f>
        <v>204.6079009169469</v>
      </c>
      <c r="O27" s="37">
        <f ca="1">O8*'Manufacturing Cost Calculations'!O83</f>
        <v>202.0017021437807</v>
      </c>
    </row>
    <row r="28" spans="1:16" x14ac:dyDescent="0.2">
      <c r="A28" s="45" t="s">
        <v>281</v>
      </c>
      <c r="D28" s="3"/>
      <c r="E28" s="3"/>
      <c r="F28" s="37">
        <f ca="1">F8*('Manufacturing Cost Calculations'!F84+'Manufacturing Cost Calculations'!F85+'Manufacturing Cost Calculations'!F86)</f>
        <v>160.09336727854296</v>
      </c>
      <c r="G28" s="37">
        <f ca="1">G8*('Manufacturing Cost Calculations'!G84+'Manufacturing Cost Calculations'!G85+'Manufacturing Cost Calculations'!G86)</f>
        <v>159.6580880164511</v>
      </c>
      <c r="H28" s="37">
        <f ca="1">H8*('Manufacturing Cost Calculations'!H84+'Manufacturing Cost Calculations'!H85+'Manufacturing Cost Calculations'!H86)</f>
        <v>159.53189191984114</v>
      </c>
      <c r="I28" s="37">
        <f ca="1">I8*('Manufacturing Cost Calculations'!I84+'Manufacturing Cost Calculations'!I85+'Manufacturing Cost Calculations'!I86)</f>
        <v>158.44180610257763</v>
      </c>
      <c r="J28" s="37">
        <f ca="1">J8*('Manufacturing Cost Calculations'!J84+'Manufacturing Cost Calculations'!J85+'Manufacturing Cost Calculations'!J86)</f>
        <v>158.97215103482196</v>
      </c>
      <c r="K28" s="37">
        <f ca="1">K8*('Manufacturing Cost Calculations'!K84+'Manufacturing Cost Calculations'!K85+'Manufacturing Cost Calculations'!K86)</f>
        <v>156.82697915111859</v>
      </c>
      <c r="L28" s="37">
        <f ca="1">L8*('Manufacturing Cost Calculations'!L84+'Manufacturing Cost Calculations'!L85+'Manufacturing Cost Calculations'!L86)</f>
        <v>156.40956501063332</v>
      </c>
      <c r="M28" s="37">
        <f ca="1">M8*('Manufacturing Cost Calculations'!M84+'Manufacturing Cost Calculations'!M85+'Manufacturing Cost Calculations'!M86)</f>
        <v>159.29670123563744</v>
      </c>
      <c r="N28" s="37">
        <f ca="1">N8*('Manufacturing Cost Calculations'!N84+'Manufacturing Cost Calculations'!N85+'Manufacturing Cost Calculations'!N86)</f>
        <v>158.93395985284099</v>
      </c>
      <c r="O28" s="37">
        <f ca="1">O8*('Manufacturing Cost Calculations'!O84+'Manufacturing Cost Calculations'!O85+'Manufacturing Cost Calculations'!O86)</f>
        <v>158.62345351252779</v>
      </c>
    </row>
    <row r="29" spans="1:16" x14ac:dyDescent="0.2">
      <c r="A29" s="95" t="s">
        <v>282</v>
      </c>
      <c r="D29" s="3"/>
      <c r="E29" s="4"/>
      <c r="F29" s="37">
        <f ca="1">F9*'Manufacturing Cost Calculations'!F96</f>
        <v>934.40660192757548</v>
      </c>
      <c r="G29" s="37">
        <f ca="1">G9*'Manufacturing Cost Calculations'!G96</f>
        <v>928.73434464488571</v>
      </c>
      <c r="H29" s="37">
        <f ca="1">H9*'Manufacturing Cost Calculations'!H96</f>
        <v>924.44797600352558</v>
      </c>
      <c r="I29" s="37">
        <f ca="1">I9*'Manufacturing Cost Calculations'!I96</f>
        <v>919.52170222362497</v>
      </c>
      <c r="J29" s="37">
        <f ca="1">J9*'Manufacturing Cost Calculations'!J96</f>
        <v>922.42345631814453</v>
      </c>
      <c r="K29" s="37">
        <f ca="1">K9*'Manufacturing Cost Calculations'!K96</f>
        <v>916.16136111185017</v>
      </c>
      <c r="L29" s="37">
        <f ca="1">L9*'Manufacturing Cost Calculations'!L96</f>
        <v>906.63260418202742</v>
      </c>
      <c r="M29" s="37">
        <f ca="1">M9*'Manufacturing Cost Calculations'!M96</f>
        <v>897.80154672107312</v>
      </c>
      <c r="N29" s="37">
        <f ca="1">N9*'Manufacturing Cost Calculations'!N96</f>
        <v>890.51104228670499</v>
      </c>
      <c r="O29" s="37">
        <f ca="1">O9*'Manufacturing Cost Calculations'!O96</f>
        <v>884.28186907438044</v>
      </c>
    </row>
    <row r="30" spans="1:16" x14ac:dyDescent="0.2">
      <c r="A30" s="7" t="s">
        <v>382</v>
      </c>
      <c r="F30" s="220">
        <f ca="1">'Manufacturing Cost Calculations'!F105</f>
        <v>304.65175893069011</v>
      </c>
      <c r="G30" s="220">
        <f ca="1">'Manufacturing Cost Calculations'!G105</f>
        <v>273.39842311056282</v>
      </c>
      <c r="H30" s="220">
        <f ca="1">'Manufacturing Cost Calculations'!H105</f>
        <v>255.55013057353233</v>
      </c>
      <c r="I30" s="220">
        <f ca="1">'Manufacturing Cost Calculations'!I105</f>
        <v>245.687055815842</v>
      </c>
      <c r="J30" s="220">
        <f ca="1">'Manufacturing Cost Calculations'!J105</f>
        <v>240.07348614528451</v>
      </c>
      <c r="K30" s="220">
        <f ca="1">'Manufacturing Cost Calculations'!K105</f>
        <v>237.51840844361973</v>
      </c>
      <c r="L30" s="220">
        <f ca="1">'Manufacturing Cost Calculations'!L105</f>
        <v>233.30613937958836</v>
      </c>
      <c r="M30" s="220">
        <f ca="1">'Manufacturing Cost Calculations'!M105</f>
        <v>229.50189760353391</v>
      </c>
      <c r="N30" s="220">
        <f ca="1">'Manufacturing Cost Calculations'!N105</f>
        <v>227.81498224766011</v>
      </c>
      <c r="O30" s="220">
        <f ca="1">'Manufacturing Cost Calculations'!O105</f>
        <v>226.36941726084422</v>
      </c>
    </row>
    <row r="31" spans="1:16" x14ac:dyDescent="0.2">
      <c r="A31" s="7" t="s">
        <v>421</v>
      </c>
      <c r="E31" s="5"/>
      <c r="F31" s="37">
        <f t="shared" ref="F31:K31" ca="1" si="0">SUM(F21:F30)</f>
        <v>8679.8443869807761</v>
      </c>
      <c r="G31" s="37">
        <f t="shared" ca="1" si="0"/>
        <v>6662.0247230478544</v>
      </c>
      <c r="H31" s="37">
        <f t="shared" ca="1" si="0"/>
        <v>5559.2057888130648</v>
      </c>
      <c r="I31" s="37">
        <f t="shared" ca="1" si="0"/>
        <v>4943.0027533537022</v>
      </c>
      <c r="J31" s="37">
        <f t="shared" ca="1" si="0"/>
        <v>4626.2638416218433</v>
      </c>
      <c r="K31" s="37">
        <f t="shared" ca="1" si="0"/>
        <v>4448.9084369669845</v>
      </c>
      <c r="L31" s="37">
        <f t="shared" ref="L31:O31" ca="1" si="1">SUM(L21:L30)</f>
        <v>4378.9165551558135</v>
      </c>
      <c r="M31" s="37">
        <f t="shared" ca="1" si="1"/>
        <v>4300.0606295777197</v>
      </c>
      <c r="N31" s="37">
        <f t="shared" ca="1" si="1"/>
        <v>4248.2136887213674</v>
      </c>
      <c r="O31" s="37">
        <f t="shared" ca="1" si="1"/>
        <v>4203.8959092945952</v>
      </c>
    </row>
    <row r="32" spans="1:16" x14ac:dyDescent="0.2">
      <c r="A32" s="7" t="s">
        <v>402</v>
      </c>
      <c r="E32" s="5"/>
      <c r="F32" s="37">
        <f>'Manufacturing Cost Calculations'!F113</f>
        <v>475</v>
      </c>
      <c r="G32" s="37">
        <f>'Manufacturing Cost Calculations'!G113</f>
        <v>475</v>
      </c>
      <c r="H32" s="37">
        <f>'Manufacturing Cost Calculations'!H113</f>
        <v>475</v>
      </c>
      <c r="I32" s="37">
        <f>'Manufacturing Cost Calculations'!I113</f>
        <v>475</v>
      </c>
      <c r="J32" s="37">
        <f>'Manufacturing Cost Calculations'!J113</f>
        <v>475</v>
      </c>
      <c r="K32" s="37">
        <f>'Manufacturing Cost Calculations'!K113</f>
        <v>475</v>
      </c>
      <c r="L32" s="37">
        <f>'Manufacturing Cost Calculations'!L113</f>
        <v>475</v>
      </c>
      <c r="M32" s="37">
        <f>'Manufacturing Cost Calculations'!M113</f>
        <v>475</v>
      </c>
      <c r="N32" s="37">
        <f>'Manufacturing Cost Calculations'!N113</f>
        <v>475</v>
      </c>
      <c r="O32" s="37">
        <f>'Manufacturing Cost Calculations'!O113</f>
        <v>475</v>
      </c>
    </row>
    <row r="33" spans="1:16" x14ac:dyDescent="0.2">
      <c r="A33" s="7" t="s">
        <v>427</v>
      </c>
      <c r="E33" s="5"/>
      <c r="F33" s="38">
        <f>'Manufacturing Cost Calculations'!F122</f>
        <v>0</v>
      </c>
      <c r="G33" s="38">
        <f>'Manufacturing Cost Calculations'!G122</f>
        <v>0</v>
      </c>
      <c r="H33" s="38">
        <f>'Manufacturing Cost Calculations'!H122</f>
        <v>0</v>
      </c>
      <c r="I33" s="38">
        <f>'Manufacturing Cost Calculations'!I122</f>
        <v>0</v>
      </c>
      <c r="J33" s="38">
        <f>'Manufacturing Cost Calculations'!J122</f>
        <v>0</v>
      </c>
      <c r="K33" s="38">
        <f>'Manufacturing Cost Calculations'!K122</f>
        <v>0</v>
      </c>
      <c r="L33" s="38">
        <f>'Manufacturing Cost Calculations'!L122</f>
        <v>0</v>
      </c>
      <c r="M33" s="38">
        <f>'Manufacturing Cost Calculations'!M122</f>
        <v>0</v>
      </c>
      <c r="N33" s="38">
        <f>'Manufacturing Cost Calculations'!N122</f>
        <v>0</v>
      </c>
      <c r="O33" s="38">
        <f>'Manufacturing Cost Calculations'!O122</f>
        <v>0</v>
      </c>
    </row>
    <row r="34" spans="1:16" x14ac:dyDescent="0.2">
      <c r="A34" s="58"/>
      <c r="B34" s="17"/>
      <c r="C34" s="17"/>
      <c r="D34" s="17"/>
      <c r="E34" s="58"/>
      <c r="F34" s="274"/>
      <c r="G34" s="274"/>
      <c r="H34" s="274"/>
      <c r="I34" s="274"/>
      <c r="J34" s="274"/>
      <c r="K34" s="274"/>
      <c r="L34" s="274"/>
      <c r="M34" s="274"/>
      <c r="N34" s="274"/>
      <c r="O34" s="274"/>
      <c r="P34" s="17"/>
    </row>
    <row r="35" spans="1:16" x14ac:dyDescent="0.2">
      <c r="A35" s="45"/>
      <c r="B35" s="17"/>
      <c r="C35" s="17"/>
      <c r="D35" s="17"/>
      <c r="E35" s="58"/>
      <c r="F35" s="286"/>
      <c r="G35" s="286"/>
      <c r="H35" s="286"/>
      <c r="I35" s="286"/>
      <c r="J35" s="286"/>
      <c r="K35" s="286"/>
      <c r="L35" s="286"/>
      <c r="M35" s="286"/>
      <c r="N35" s="286"/>
      <c r="O35" s="286"/>
      <c r="P35" s="17"/>
    </row>
    <row r="36" spans="1:16" x14ac:dyDescent="0.2">
      <c r="A36" s="45"/>
      <c r="B36" s="17"/>
      <c r="C36" s="17"/>
      <c r="D36" s="17"/>
      <c r="E36" s="58"/>
      <c r="F36" s="286"/>
      <c r="G36" s="286"/>
      <c r="H36" s="286"/>
      <c r="I36" s="286"/>
      <c r="J36" s="286"/>
      <c r="K36" s="286"/>
      <c r="L36" s="286"/>
      <c r="M36" s="286"/>
      <c r="N36" s="286"/>
      <c r="O36" s="286"/>
      <c r="P36" s="17"/>
    </row>
    <row r="37" spans="1:16" x14ac:dyDescent="0.2">
      <c r="A37" s="45"/>
      <c r="B37" s="17"/>
      <c r="C37" s="17"/>
      <c r="D37" s="17"/>
      <c r="E37" s="58"/>
      <c r="F37" s="286"/>
      <c r="G37" s="286"/>
      <c r="H37" s="286"/>
      <c r="I37" s="286"/>
      <c r="J37" s="286"/>
      <c r="K37" s="286"/>
      <c r="L37" s="286"/>
      <c r="M37" s="286"/>
      <c r="N37" s="286"/>
      <c r="O37" s="286"/>
      <c r="P37" s="17"/>
    </row>
    <row r="38" spans="1:16" x14ac:dyDescent="0.2">
      <c r="A38" s="45"/>
      <c r="B38" s="17"/>
      <c r="C38" s="17"/>
      <c r="D38" s="17"/>
      <c r="E38" s="58"/>
      <c r="F38" s="286"/>
      <c r="G38" s="286"/>
      <c r="H38" s="286"/>
      <c r="I38" s="286"/>
      <c r="J38" s="286"/>
      <c r="K38" s="286"/>
      <c r="L38" s="286"/>
      <c r="M38" s="286"/>
      <c r="N38" s="286"/>
      <c r="O38" s="286"/>
      <c r="P38" s="17"/>
    </row>
    <row r="39" spans="1:16" x14ac:dyDescent="0.2">
      <c r="A39" s="45"/>
      <c r="B39" s="17"/>
      <c r="C39" s="17"/>
      <c r="D39" s="17"/>
      <c r="E39" s="58"/>
      <c r="F39" s="286"/>
      <c r="G39" s="286"/>
      <c r="H39" s="286"/>
      <c r="I39" s="286"/>
      <c r="J39" s="286"/>
      <c r="K39" s="286"/>
      <c r="L39" s="286"/>
      <c r="M39" s="286"/>
      <c r="N39" s="286"/>
      <c r="O39" s="286"/>
      <c r="P39" s="17"/>
    </row>
    <row r="40" spans="1:16" x14ac:dyDescent="0.2">
      <c r="A40" s="45"/>
      <c r="B40" s="17"/>
      <c r="C40" s="17"/>
      <c r="D40" s="17"/>
      <c r="E40" s="58"/>
      <c r="F40" s="286"/>
      <c r="G40" s="286"/>
      <c r="H40" s="286"/>
      <c r="I40" s="286"/>
      <c r="J40" s="286"/>
      <c r="K40" s="286"/>
      <c r="L40" s="286"/>
      <c r="M40" s="286"/>
      <c r="N40" s="286"/>
      <c r="O40" s="286"/>
      <c r="P40" s="17"/>
    </row>
    <row r="41" spans="1:16" x14ac:dyDescent="0.2">
      <c r="A41" s="45"/>
      <c r="B41" s="17"/>
      <c r="C41" s="17"/>
      <c r="D41" s="17"/>
      <c r="E41" s="58"/>
      <c r="F41" s="286"/>
      <c r="G41" s="286"/>
      <c r="H41" s="286"/>
      <c r="I41" s="286"/>
      <c r="J41" s="286"/>
      <c r="K41" s="286"/>
      <c r="L41" s="286"/>
      <c r="M41" s="286"/>
      <c r="N41" s="286"/>
      <c r="O41" s="286"/>
      <c r="P41" s="17"/>
    </row>
    <row r="42" spans="1:16" x14ac:dyDescent="0.2">
      <c r="A42" s="90"/>
      <c r="B42" s="17"/>
      <c r="C42" s="17"/>
      <c r="D42" s="17"/>
      <c r="E42" s="58"/>
      <c r="F42" s="496"/>
      <c r="G42" s="496"/>
      <c r="H42" s="496"/>
      <c r="I42" s="496"/>
      <c r="J42" s="496"/>
      <c r="K42" s="496"/>
      <c r="L42" s="496"/>
      <c r="M42" s="496"/>
      <c r="N42" s="496"/>
      <c r="O42" s="496"/>
      <c r="P42" s="17"/>
    </row>
    <row r="43" spans="1:16" ht="15" x14ac:dyDescent="0.25">
      <c r="A43" s="325"/>
      <c r="B43" s="17"/>
      <c r="C43" s="17"/>
      <c r="D43" s="17"/>
      <c r="E43" s="58"/>
      <c r="F43" s="274"/>
      <c r="G43" s="274"/>
      <c r="H43" s="274"/>
      <c r="I43" s="274"/>
      <c r="J43" s="274"/>
      <c r="K43" s="274"/>
      <c r="L43" s="274"/>
      <c r="M43" s="274"/>
      <c r="N43" s="274"/>
      <c r="O43" s="274"/>
      <c r="P43" s="17"/>
    </row>
    <row r="44" spans="1:16" x14ac:dyDescent="0.2">
      <c r="A44" s="45"/>
      <c r="B44" s="17"/>
      <c r="C44" s="17"/>
      <c r="D44" s="17"/>
      <c r="E44" s="58"/>
      <c r="F44" s="286"/>
      <c r="G44" s="286"/>
      <c r="H44" s="286"/>
      <c r="I44" s="286"/>
      <c r="J44" s="286"/>
      <c r="K44" s="286"/>
      <c r="L44" s="286"/>
      <c r="M44" s="286"/>
      <c r="N44" s="286"/>
      <c r="O44" s="286"/>
      <c r="P44" s="17"/>
    </row>
    <row r="45" spans="1:16" x14ac:dyDescent="0.2">
      <c r="A45" s="45"/>
      <c r="B45" s="17"/>
      <c r="C45" s="17"/>
      <c r="D45" s="17"/>
      <c r="E45" s="58"/>
      <c r="F45" s="286"/>
      <c r="G45" s="286"/>
      <c r="H45" s="286"/>
      <c r="I45" s="286"/>
      <c r="J45" s="286"/>
      <c r="K45" s="286"/>
      <c r="L45" s="286"/>
      <c r="M45" s="286"/>
      <c r="N45" s="286"/>
      <c r="O45" s="286"/>
      <c r="P45" s="17"/>
    </row>
    <row r="46" spans="1:16" x14ac:dyDescent="0.2">
      <c r="A46" s="45"/>
      <c r="B46" s="17"/>
      <c r="C46" s="17"/>
      <c r="D46" s="17"/>
      <c r="E46" s="58"/>
      <c r="F46" s="286"/>
      <c r="G46" s="286"/>
      <c r="H46" s="286"/>
      <c r="I46" s="286"/>
      <c r="J46" s="286"/>
      <c r="K46" s="286"/>
      <c r="L46" s="286"/>
      <c r="M46" s="286"/>
      <c r="N46" s="286"/>
      <c r="O46" s="286"/>
      <c r="P46" s="17"/>
    </row>
    <row r="47" spans="1:16" x14ac:dyDescent="0.2">
      <c r="A47" s="45"/>
      <c r="B47" s="17"/>
      <c r="C47" s="17"/>
      <c r="D47" s="17"/>
      <c r="E47" s="58"/>
      <c r="F47" s="286"/>
      <c r="G47" s="286"/>
      <c r="H47" s="286"/>
      <c r="I47" s="286"/>
      <c r="J47" s="286"/>
      <c r="K47" s="286"/>
      <c r="L47" s="286"/>
      <c r="M47" s="286"/>
      <c r="N47" s="286"/>
      <c r="O47" s="286"/>
      <c r="P47" s="17"/>
    </row>
    <row r="48" spans="1:16" x14ac:dyDescent="0.2">
      <c r="A48" s="45"/>
      <c r="B48" s="17"/>
      <c r="C48" s="17"/>
      <c r="D48" s="17"/>
      <c r="E48" s="58"/>
      <c r="F48" s="286"/>
      <c r="G48" s="286"/>
      <c r="H48" s="286"/>
      <c r="I48" s="286"/>
      <c r="J48" s="286"/>
      <c r="K48" s="286"/>
      <c r="L48" s="286"/>
      <c r="M48" s="286"/>
      <c r="N48" s="286"/>
      <c r="O48" s="286"/>
      <c r="P48" s="17"/>
    </row>
    <row r="49" spans="1:16" x14ac:dyDescent="0.2">
      <c r="A49" s="45"/>
      <c r="B49" s="17"/>
      <c r="C49" s="17"/>
      <c r="D49" s="17"/>
      <c r="E49" s="58"/>
      <c r="F49" s="286"/>
      <c r="G49" s="286"/>
      <c r="H49" s="286"/>
      <c r="I49" s="286"/>
      <c r="J49" s="286"/>
      <c r="K49" s="286"/>
      <c r="L49" s="286"/>
      <c r="M49" s="286"/>
      <c r="N49" s="286"/>
      <c r="O49" s="286"/>
      <c r="P49" s="17"/>
    </row>
    <row r="50" spans="1:16" x14ac:dyDescent="0.2">
      <c r="A50" s="45"/>
      <c r="B50" s="17"/>
      <c r="C50" s="17"/>
      <c r="D50" s="17"/>
      <c r="E50" s="58"/>
      <c r="F50" s="286"/>
      <c r="G50" s="286"/>
      <c r="H50" s="286"/>
      <c r="I50" s="286"/>
      <c r="J50" s="286"/>
      <c r="K50" s="286"/>
      <c r="L50" s="286"/>
      <c r="M50" s="286"/>
      <c r="N50" s="286"/>
      <c r="O50" s="286"/>
      <c r="P50" s="17"/>
    </row>
    <row r="51" spans="1:16" x14ac:dyDescent="0.2">
      <c r="A51" s="90"/>
      <c r="B51" s="17"/>
      <c r="C51" s="17"/>
      <c r="D51" s="17"/>
      <c r="E51" s="58"/>
      <c r="F51" s="274"/>
      <c r="G51" s="274"/>
      <c r="H51" s="274"/>
      <c r="I51" s="274"/>
      <c r="J51" s="274"/>
      <c r="K51" s="274"/>
      <c r="L51" s="274"/>
      <c r="M51" s="274"/>
      <c r="N51" s="274"/>
      <c r="O51" s="274"/>
      <c r="P51" s="17"/>
    </row>
    <row r="52" spans="1:16" ht="15" x14ac:dyDescent="0.25">
      <c r="A52" s="325"/>
      <c r="B52" s="17"/>
      <c r="C52" s="17"/>
      <c r="D52" s="17"/>
      <c r="E52" s="58"/>
      <c r="F52" s="274"/>
      <c r="G52" s="274"/>
      <c r="H52" s="274"/>
      <c r="I52" s="274"/>
      <c r="J52" s="274"/>
      <c r="K52" s="274"/>
      <c r="L52" s="274"/>
      <c r="M52" s="274"/>
      <c r="N52" s="274"/>
      <c r="O52" s="274"/>
      <c r="P52" s="17"/>
    </row>
    <row r="53" spans="1:16" x14ac:dyDescent="0.2">
      <c r="A53" s="45"/>
      <c r="B53" s="17"/>
      <c r="C53" s="17"/>
      <c r="D53" s="17"/>
      <c r="E53" s="58"/>
      <c r="F53" s="286"/>
      <c r="G53" s="286"/>
      <c r="H53" s="286"/>
      <c r="I53" s="286"/>
      <c r="J53" s="286"/>
      <c r="K53" s="286"/>
      <c r="L53" s="286"/>
      <c r="M53" s="286"/>
      <c r="N53" s="286"/>
      <c r="O53" s="286"/>
      <c r="P53" s="17"/>
    </row>
    <row r="54" spans="1:16" x14ac:dyDescent="0.2">
      <c r="A54" s="45"/>
      <c r="B54" s="17"/>
      <c r="C54" s="17"/>
      <c r="D54" s="17"/>
      <c r="E54" s="58"/>
      <c r="F54" s="286"/>
      <c r="G54" s="286"/>
      <c r="H54" s="286"/>
      <c r="I54" s="286"/>
      <c r="J54" s="286"/>
      <c r="K54" s="286"/>
      <c r="L54" s="286"/>
      <c r="M54" s="286"/>
      <c r="N54" s="286"/>
      <c r="O54" s="286"/>
      <c r="P54" s="17"/>
    </row>
    <row r="55" spans="1:16" x14ac:dyDescent="0.2">
      <c r="A55" s="45"/>
      <c r="B55" s="17"/>
      <c r="C55" s="17"/>
      <c r="D55" s="17"/>
      <c r="E55" s="58"/>
      <c r="F55" s="286"/>
      <c r="G55" s="286"/>
      <c r="H55" s="286"/>
      <c r="I55" s="286"/>
      <c r="J55" s="286"/>
      <c r="K55" s="286"/>
      <c r="L55" s="286"/>
      <c r="M55" s="286"/>
      <c r="N55" s="286"/>
      <c r="O55" s="286"/>
      <c r="P55" s="17"/>
    </row>
    <row r="56" spans="1:16" x14ac:dyDescent="0.2">
      <c r="A56" s="45"/>
      <c r="B56" s="17"/>
      <c r="C56" s="17"/>
      <c r="D56" s="17"/>
      <c r="E56" s="58"/>
      <c r="F56" s="286"/>
      <c r="G56" s="286"/>
      <c r="H56" s="286"/>
      <c r="I56" s="286"/>
      <c r="J56" s="286"/>
      <c r="K56" s="286"/>
      <c r="L56" s="286"/>
      <c r="M56" s="286"/>
      <c r="N56" s="286"/>
      <c r="O56" s="286"/>
      <c r="P56" s="17"/>
    </row>
    <row r="57" spans="1:16" x14ac:dyDescent="0.2">
      <c r="A57" s="45"/>
      <c r="B57" s="17"/>
      <c r="C57" s="17"/>
      <c r="D57" s="17"/>
      <c r="E57" s="58"/>
      <c r="F57" s="286"/>
      <c r="G57" s="286"/>
      <c r="H57" s="286"/>
      <c r="I57" s="286"/>
      <c r="J57" s="286"/>
      <c r="K57" s="286"/>
      <c r="L57" s="286"/>
      <c r="M57" s="286"/>
      <c r="N57" s="286"/>
      <c r="O57" s="286"/>
      <c r="P57" s="17"/>
    </row>
    <row r="58" spans="1:16" x14ac:dyDescent="0.2">
      <c r="A58" s="45"/>
      <c r="B58" s="17"/>
      <c r="C58" s="17"/>
      <c r="D58" s="17"/>
      <c r="E58" s="58"/>
      <c r="F58" s="286"/>
      <c r="G58" s="286"/>
      <c r="H58" s="286"/>
      <c r="I58" s="286"/>
      <c r="J58" s="286"/>
      <c r="K58" s="286"/>
      <c r="L58" s="286"/>
      <c r="M58" s="286"/>
      <c r="N58" s="286"/>
      <c r="O58" s="286"/>
      <c r="P58" s="17"/>
    </row>
    <row r="59" spans="1:16" x14ac:dyDescent="0.2">
      <c r="A59" s="45"/>
      <c r="B59" s="17"/>
      <c r="C59" s="17"/>
      <c r="D59" s="17"/>
      <c r="E59" s="58"/>
      <c r="F59" s="286"/>
      <c r="G59" s="286"/>
      <c r="H59" s="286"/>
      <c r="I59" s="286"/>
      <c r="J59" s="286"/>
      <c r="K59" s="286"/>
      <c r="L59" s="286"/>
      <c r="M59" s="286"/>
      <c r="N59" s="286"/>
      <c r="O59" s="286"/>
      <c r="P59" s="17"/>
    </row>
    <row r="60" spans="1:16" x14ac:dyDescent="0.2">
      <c r="A60" s="90"/>
      <c r="B60" s="17"/>
      <c r="C60" s="17"/>
      <c r="D60" s="17"/>
      <c r="E60" s="58"/>
      <c r="F60" s="286"/>
      <c r="G60" s="286"/>
      <c r="H60" s="286"/>
      <c r="I60" s="286"/>
      <c r="J60" s="286"/>
      <c r="K60" s="286"/>
      <c r="L60" s="286"/>
      <c r="M60" s="286"/>
      <c r="N60" s="286"/>
      <c r="O60" s="286"/>
      <c r="P60" s="17"/>
    </row>
    <row r="61" spans="1:16" ht="15.75" x14ac:dyDescent="0.25">
      <c r="A61" s="336"/>
      <c r="B61" s="336"/>
      <c r="C61" s="336"/>
      <c r="D61" s="336"/>
      <c r="E61" s="336"/>
      <c r="F61" s="336"/>
      <c r="G61" s="336"/>
      <c r="H61" s="336"/>
      <c r="I61" s="336"/>
      <c r="J61" s="336"/>
      <c r="K61" s="17"/>
      <c r="L61" s="17"/>
      <c r="M61" s="17"/>
      <c r="N61" s="17"/>
      <c r="O61" s="17"/>
      <c r="P61" s="17"/>
    </row>
    <row r="62" spans="1:16" x14ac:dyDescent="0.2">
      <c r="A62" s="17"/>
      <c r="B62" s="17"/>
      <c r="C62" s="17"/>
      <c r="D62" s="17"/>
      <c r="E62" s="17"/>
      <c r="F62" s="17"/>
      <c r="G62" s="17"/>
      <c r="H62" s="17"/>
      <c r="I62" s="17"/>
      <c r="J62" s="17"/>
      <c r="K62" s="17"/>
      <c r="L62" s="17"/>
      <c r="M62" s="17"/>
      <c r="N62" s="17"/>
      <c r="O62" s="17"/>
      <c r="P62" s="17"/>
    </row>
    <row r="63" spans="1:16" x14ac:dyDescent="0.2">
      <c r="A63" s="58"/>
      <c r="B63" s="58"/>
      <c r="C63" s="58"/>
      <c r="D63" s="58"/>
      <c r="E63" s="58"/>
      <c r="F63" s="59"/>
      <c r="G63" s="59"/>
      <c r="H63" s="59"/>
      <c r="I63" s="59"/>
      <c r="J63" s="59"/>
      <c r="K63" s="59"/>
      <c r="L63" s="59"/>
      <c r="M63" s="59"/>
      <c r="N63" s="59"/>
      <c r="O63" s="59"/>
      <c r="P63" s="17"/>
    </row>
    <row r="64" spans="1:16" ht="15" x14ac:dyDescent="0.25">
      <c r="A64" s="325"/>
      <c r="B64" s="58"/>
      <c r="C64" s="58"/>
      <c r="D64" s="58"/>
      <c r="E64" s="58"/>
      <c r="F64" s="59"/>
      <c r="G64" s="59"/>
      <c r="H64" s="59"/>
      <c r="I64" s="59"/>
      <c r="J64" s="59"/>
      <c r="K64" s="59"/>
      <c r="L64" s="59"/>
      <c r="M64" s="59"/>
      <c r="N64" s="59"/>
      <c r="O64" s="59"/>
      <c r="P64" s="17"/>
    </row>
    <row r="65" spans="1:16" x14ac:dyDescent="0.2">
      <c r="A65" s="45"/>
      <c r="B65" s="17"/>
      <c r="C65" s="17"/>
      <c r="D65" s="17"/>
      <c r="E65" s="17"/>
      <c r="F65" s="439"/>
      <c r="G65" s="439"/>
      <c r="H65" s="439"/>
      <c r="I65" s="439"/>
      <c r="J65" s="439"/>
      <c r="K65" s="439"/>
      <c r="L65" s="439"/>
      <c r="M65" s="439"/>
      <c r="N65" s="439"/>
      <c r="O65" s="439"/>
      <c r="P65" s="17"/>
    </row>
    <row r="66" spans="1:16" x14ac:dyDescent="0.2">
      <c r="A66" s="45"/>
      <c r="B66" s="17"/>
      <c r="C66" s="17"/>
      <c r="D66" s="17"/>
      <c r="E66" s="17"/>
      <c r="F66" s="439"/>
      <c r="G66" s="439"/>
      <c r="H66" s="439"/>
      <c r="I66" s="439"/>
      <c r="J66" s="439"/>
      <c r="K66" s="439"/>
      <c r="L66" s="439"/>
      <c r="M66" s="439"/>
      <c r="N66" s="439"/>
      <c r="O66" s="439"/>
      <c r="P66" s="17"/>
    </row>
    <row r="67" spans="1:16" x14ac:dyDescent="0.2">
      <c r="A67" s="45"/>
      <c r="B67" s="17"/>
      <c r="C67" s="17"/>
      <c r="D67" s="17"/>
      <c r="E67" s="17"/>
      <c r="F67" s="439"/>
      <c r="G67" s="439"/>
      <c r="H67" s="439"/>
      <c r="I67" s="439"/>
      <c r="J67" s="439"/>
      <c r="K67" s="439"/>
      <c r="L67" s="439"/>
      <c r="M67" s="439"/>
      <c r="N67" s="439"/>
      <c r="O67" s="439"/>
      <c r="P67" s="17"/>
    </row>
    <row r="68" spans="1:16" x14ac:dyDescent="0.2">
      <c r="A68" s="45"/>
      <c r="B68" s="17"/>
      <c r="C68" s="17"/>
      <c r="D68" s="17"/>
      <c r="E68" s="17"/>
      <c r="F68" s="439"/>
      <c r="G68" s="439"/>
      <c r="H68" s="439"/>
      <c r="I68" s="439"/>
      <c r="J68" s="439"/>
      <c r="K68" s="439"/>
      <c r="L68" s="439"/>
      <c r="M68" s="439"/>
      <c r="N68" s="439"/>
      <c r="O68" s="439"/>
      <c r="P68" s="17"/>
    </row>
    <row r="69" spans="1:16" x14ac:dyDescent="0.2">
      <c r="A69" s="45"/>
      <c r="B69" s="17"/>
      <c r="C69" s="17"/>
      <c r="D69" s="17"/>
      <c r="E69" s="17"/>
      <c r="F69" s="439"/>
      <c r="G69" s="439"/>
      <c r="H69" s="439"/>
      <c r="I69" s="439"/>
      <c r="J69" s="439"/>
      <c r="K69" s="439"/>
      <c r="L69" s="439"/>
      <c r="M69" s="439"/>
      <c r="N69" s="439"/>
      <c r="O69" s="439"/>
      <c r="P69" s="17"/>
    </row>
    <row r="70" spans="1:16" x14ac:dyDescent="0.2">
      <c r="A70" s="45"/>
      <c r="B70" s="17"/>
      <c r="C70" s="17"/>
      <c r="D70" s="17"/>
      <c r="E70" s="17"/>
      <c r="F70" s="439"/>
      <c r="G70" s="439"/>
      <c r="H70" s="439"/>
      <c r="I70" s="439"/>
      <c r="J70" s="439"/>
      <c r="K70" s="439"/>
      <c r="L70" s="439"/>
      <c r="M70" s="439"/>
      <c r="N70" s="439"/>
      <c r="O70" s="439"/>
      <c r="P70" s="17"/>
    </row>
    <row r="71" spans="1:16" x14ac:dyDescent="0.2">
      <c r="A71" s="45"/>
      <c r="B71" s="17"/>
      <c r="C71" s="17"/>
      <c r="D71" s="17"/>
      <c r="E71" s="17"/>
      <c r="F71" s="439"/>
      <c r="G71" s="439"/>
      <c r="H71" s="439"/>
      <c r="I71" s="439"/>
      <c r="J71" s="439"/>
      <c r="K71" s="439"/>
      <c r="L71" s="439"/>
      <c r="M71" s="439"/>
      <c r="N71" s="439"/>
      <c r="O71" s="439"/>
      <c r="P71" s="17"/>
    </row>
    <row r="72" spans="1:16" x14ac:dyDescent="0.2">
      <c r="A72" s="90"/>
      <c r="B72" s="17"/>
      <c r="C72" s="17"/>
      <c r="D72" s="17"/>
      <c r="E72" s="17"/>
      <c r="F72" s="497"/>
      <c r="G72" s="497"/>
      <c r="H72" s="497"/>
      <c r="I72" s="497"/>
      <c r="J72" s="497"/>
      <c r="K72" s="497"/>
      <c r="L72" s="497"/>
      <c r="M72" s="497"/>
      <c r="N72" s="497"/>
      <c r="O72" s="497"/>
      <c r="P72" s="17"/>
    </row>
    <row r="73" spans="1:16" ht="15" x14ac:dyDescent="0.25">
      <c r="A73" s="325"/>
      <c r="B73" s="17"/>
      <c r="C73" s="17"/>
      <c r="D73" s="17"/>
      <c r="E73" s="17"/>
      <c r="F73" s="17"/>
      <c r="G73" s="17"/>
      <c r="H73" s="17"/>
      <c r="I73" s="17"/>
      <c r="J73" s="17"/>
      <c r="K73" s="17"/>
      <c r="L73" s="17"/>
      <c r="M73" s="17"/>
      <c r="N73" s="17"/>
      <c r="O73" s="17"/>
      <c r="P73" s="17"/>
    </row>
    <row r="74" spans="1:16" x14ac:dyDescent="0.2">
      <c r="A74" s="45"/>
      <c r="B74" s="17"/>
      <c r="C74" s="17"/>
      <c r="D74" s="17"/>
      <c r="E74" s="286"/>
      <c r="F74" s="439"/>
      <c r="G74" s="439"/>
      <c r="H74" s="439"/>
      <c r="I74" s="439"/>
      <c r="J74" s="439"/>
      <c r="K74" s="439"/>
      <c r="L74" s="439"/>
      <c r="M74" s="439"/>
      <c r="N74" s="439"/>
      <c r="O74" s="439"/>
      <c r="P74" s="17"/>
    </row>
    <row r="75" spans="1:16" x14ac:dyDescent="0.2">
      <c r="A75" s="45"/>
      <c r="B75" s="17"/>
      <c r="C75" s="17"/>
      <c r="D75" s="17"/>
      <c r="E75" s="17"/>
      <c r="F75" s="439"/>
      <c r="G75" s="439"/>
      <c r="H75" s="439"/>
      <c r="I75" s="439"/>
      <c r="J75" s="439"/>
      <c r="K75" s="439"/>
      <c r="L75" s="439"/>
      <c r="M75" s="439"/>
      <c r="N75" s="439"/>
      <c r="O75" s="439"/>
      <c r="P75" s="17"/>
    </row>
    <row r="76" spans="1:16" x14ac:dyDescent="0.2">
      <c r="A76" s="45"/>
      <c r="B76" s="17"/>
      <c r="C76" s="17"/>
      <c r="D76" s="17"/>
      <c r="E76" s="17"/>
      <c r="F76" s="439"/>
      <c r="G76" s="439"/>
      <c r="H76" s="439"/>
      <c r="I76" s="439"/>
      <c r="J76" s="439"/>
      <c r="K76" s="439"/>
      <c r="L76" s="439"/>
      <c r="M76" s="439"/>
      <c r="N76" s="439"/>
      <c r="O76" s="439"/>
      <c r="P76" s="17"/>
    </row>
    <row r="77" spans="1:16" x14ac:dyDescent="0.2">
      <c r="A77" s="45"/>
      <c r="B77" s="17"/>
      <c r="C77" s="17"/>
      <c r="D77" s="17"/>
      <c r="E77" s="17"/>
      <c r="F77" s="439"/>
      <c r="G77" s="439"/>
      <c r="H77" s="439"/>
      <c r="I77" s="439"/>
      <c r="J77" s="439"/>
      <c r="K77" s="439"/>
      <c r="L77" s="439"/>
      <c r="M77" s="439"/>
      <c r="N77" s="439"/>
      <c r="O77" s="439"/>
      <c r="P77" s="17"/>
    </row>
    <row r="78" spans="1:16" x14ac:dyDescent="0.2">
      <c r="A78" s="45"/>
      <c r="B78" s="17"/>
      <c r="C78" s="17"/>
      <c r="D78" s="17"/>
      <c r="E78" s="17"/>
      <c r="F78" s="439"/>
      <c r="G78" s="439"/>
      <c r="H78" s="439"/>
      <c r="I78" s="439"/>
      <c r="J78" s="439"/>
      <c r="K78" s="439"/>
      <c r="L78" s="439"/>
      <c r="M78" s="439"/>
      <c r="N78" s="439"/>
      <c r="O78" s="439"/>
      <c r="P78" s="17"/>
    </row>
    <row r="79" spans="1:16" x14ac:dyDescent="0.2">
      <c r="A79" s="45"/>
      <c r="B79" s="17"/>
      <c r="C79" s="17"/>
      <c r="D79" s="17"/>
      <c r="E79" s="17"/>
      <c r="F79" s="439"/>
      <c r="G79" s="439"/>
      <c r="H79" s="439"/>
      <c r="I79" s="439"/>
      <c r="J79" s="439"/>
      <c r="K79" s="439"/>
      <c r="L79" s="439"/>
      <c r="M79" s="439"/>
      <c r="N79" s="439"/>
      <c r="O79" s="439"/>
      <c r="P79" s="17"/>
    </row>
    <row r="80" spans="1:16" x14ac:dyDescent="0.2">
      <c r="A80" s="45"/>
      <c r="B80" s="17"/>
      <c r="C80" s="17"/>
      <c r="D80" s="17"/>
      <c r="E80" s="17"/>
      <c r="F80" s="439"/>
      <c r="G80" s="439"/>
      <c r="H80" s="439"/>
      <c r="I80" s="439"/>
      <c r="J80" s="439"/>
      <c r="K80" s="439"/>
      <c r="L80" s="439"/>
      <c r="M80" s="439"/>
      <c r="N80" s="439"/>
      <c r="O80" s="439"/>
      <c r="P80" s="17"/>
    </row>
    <row r="81" spans="1:16" x14ac:dyDescent="0.2">
      <c r="A81" s="90"/>
      <c r="B81" s="17"/>
      <c r="C81" s="17"/>
      <c r="D81" s="17"/>
      <c r="E81" s="17"/>
      <c r="F81" s="439"/>
      <c r="G81" s="439"/>
      <c r="H81" s="439"/>
      <c r="I81" s="439"/>
      <c r="J81" s="439"/>
      <c r="K81" s="439"/>
      <c r="L81" s="439"/>
      <c r="M81" s="439"/>
      <c r="N81" s="439"/>
      <c r="O81" s="439"/>
      <c r="P81" s="17"/>
    </row>
    <row r="82" spans="1:16" ht="15" x14ac:dyDescent="0.25">
      <c r="A82" s="325"/>
      <c r="B82" s="17"/>
      <c r="C82" s="17"/>
      <c r="D82" s="17"/>
      <c r="E82" s="17"/>
      <c r="F82" s="17"/>
      <c r="G82" s="17"/>
      <c r="H82" s="17"/>
      <c r="I82" s="17"/>
      <c r="J82" s="17"/>
      <c r="K82" s="17"/>
      <c r="L82" s="17"/>
      <c r="M82" s="17"/>
      <c r="N82" s="17"/>
      <c r="O82" s="17"/>
      <c r="P82" s="17"/>
    </row>
    <row r="83" spans="1:16" x14ac:dyDescent="0.2">
      <c r="A83" s="45"/>
      <c r="B83" s="17"/>
      <c r="C83" s="17"/>
      <c r="D83" s="17"/>
      <c r="E83" s="286"/>
      <c r="F83" s="439"/>
      <c r="G83" s="439"/>
      <c r="H83" s="439"/>
      <c r="I83" s="439"/>
      <c r="J83" s="439"/>
      <c r="K83" s="439"/>
      <c r="L83" s="439"/>
      <c r="M83" s="439"/>
      <c r="N83" s="439"/>
      <c r="O83" s="439"/>
      <c r="P83" s="17"/>
    </row>
    <row r="84" spans="1:16" x14ac:dyDescent="0.2">
      <c r="A84" s="45"/>
      <c r="B84" s="17"/>
      <c r="C84" s="17"/>
      <c r="D84" s="17"/>
      <c r="E84" s="286"/>
      <c r="F84" s="439"/>
      <c r="G84" s="439"/>
      <c r="H84" s="439"/>
      <c r="I84" s="439"/>
      <c r="J84" s="439"/>
      <c r="K84" s="439"/>
      <c r="L84" s="439"/>
      <c r="M84" s="439"/>
      <c r="N84" s="439"/>
      <c r="O84" s="439"/>
      <c r="P84" s="17"/>
    </row>
    <row r="85" spans="1:16" x14ac:dyDescent="0.2">
      <c r="A85" s="45"/>
      <c r="B85" s="17"/>
      <c r="C85" s="17"/>
      <c r="D85" s="17"/>
      <c r="E85" s="286"/>
      <c r="F85" s="439"/>
      <c r="G85" s="439"/>
      <c r="H85" s="439"/>
      <c r="I85" s="439"/>
      <c r="J85" s="439"/>
      <c r="K85" s="439"/>
      <c r="L85" s="439"/>
      <c r="M85" s="439"/>
      <c r="N85" s="439"/>
      <c r="O85" s="439"/>
      <c r="P85" s="17"/>
    </row>
    <row r="86" spans="1:16" x14ac:dyDescent="0.2">
      <c r="A86" s="45"/>
      <c r="B86" s="17"/>
      <c r="C86" s="17"/>
      <c r="D86" s="17"/>
      <c r="E86" s="286"/>
      <c r="F86" s="439"/>
      <c r="G86" s="439"/>
      <c r="H86" s="439"/>
      <c r="I86" s="439"/>
      <c r="J86" s="439"/>
      <c r="K86" s="439"/>
      <c r="L86" s="439"/>
      <c r="M86" s="439"/>
      <c r="N86" s="439"/>
      <c r="O86" s="439"/>
      <c r="P86" s="17"/>
    </row>
    <row r="87" spans="1:16" x14ac:dyDescent="0.2">
      <c r="A87" s="45"/>
      <c r="B87" s="17"/>
      <c r="C87" s="17"/>
      <c r="D87" s="17"/>
      <c r="E87" s="286"/>
      <c r="F87" s="439"/>
      <c r="G87" s="439"/>
      <c r="H87" s="439"/>
      <c r="I87" s="439"/>
      <c r="J87" s="439"/>
      <c r="K87" s="439"/>
      <c r="L87" s="439"/>
      <c r="M87" s="439"/>
      <c r="N87" s="439"/>
      <c r="O87" s="439"/>
      <c r="P87" s="17"/>
    </row>
    <row r="88" spans="1:16" x14ac:dyDescent="0.2">
      <c r="A88" s="45"/>
      <c r="B88" s="17"/>
      <c r="C88" s="17"/>
      <c r="D88" s="17"/>
      <c r="E88" s="286"/>
      <c r="F88" s="439"/>
      <c r="G88" s="439"/>
      <c r="H88" s="439"/>
      <c r="I88" s="439"/>
      <c r="J88" s="439"/>
      <c r="K88" s="439"/>
      <c r="L88" s="439"/>
      <c r="M88" s="439"/>
      <c r="N88" s="439"/>
      <c r="O88" s="439"/>
      <c r="P88" s="17"/>
    </row>
    <row r="89" spans="1:16" x14ac:dyDescent="0.2">
      <c r="A89" s="45"/>
      <c r="B89" s="17"/>
      <c r="C89" s="17"/>
      <c r="D89" s="17"/>
      <c r="E89" s="286"/>
      <c r="F89" s="439"/>
      <c r="G89" s="439"/>
      <c r="H89" s="439"/>
      <c r="I89" s="439"/>
      <c r="J89" s="439"/>
      <c r="K89" s="439"/>
      <c r="L89" s="439"/>
      <c r="M89" s="439"/>
      <c r="N89" s="439"/>
      <c r="O89" s="439"/>
      <c r="P89" s="17"/>
    </row>
    <row r="90" spans="1:16" x14ac:dyDescent="0.2">
      <c r="A90" s="90"/>
      <c r="B90" s="17"/>
      <c r="C90" s="17"/>
      <c r="D90" s="17"/>
      <c r="E90" s="17"/>
      <c r="F90" s="439"/>
      <c r="G90" s="439"/>
      <c r="H90" s="439"/>
      <c r="I90" s="439"/>
      <c r="J90" s="439"/>
      <c r="K90" s="439"/>
      <c r="L90" s="439"/>
      <c r="M90" s="439"/>
      <c r="N90" s="439"/>
      <c r="O90" s="439"/>
      <c r="P90" s="17"/>
    </row>
    <row r="91" spans="1:16" ht="15" x14ac:dyDescent="0.25">
      <c r="A91" s="357"/>
      <c r="B91" s="17"/>
      <c r="C91" s="17"/>
      <c r="D91" s="17"/>
      <c r="E91" s="17"/>
      <c r="F91" s="439"/>
      <c r="G91" s="439"/>
      <c r="H91" s="439"/>
      <c r="I91" s="439"/>
      <c r="J91" s="439"/>
      <c r="K91" s="439"/>
      <c r="L91" s="439"/>
      <c r="M91" s="439"/>
      <c r="N91" s="439"/>
      <c r="O91" s="439"/>
      <c r="P91" s="17"/>
    </row>
    <row r="92" spans="1:16" x14ac:dyDescent="0.2">
      <c r="A92" s="154"/>
      <c r="B92" s="17"/>
      <c r="C92" s="17"/>
      <c r="D92" s="17"/>
      <c r="E92" s="17"/>
      <c r="F92" s="193"/>
      <c r="G92" s="193"/>
      <c r="H92" s="193"/>
      <c r="I92" s="193"/>
      <c r="J92" s="193"/>
      <c r="K92" s="193"/>
      <c r="L92" s="193"/>
      <c r="M92" s="193"/>
      <c r="N92" s="193"/>
      <c r="O92" s="193"/>
      <c r="P92" s="17"/>
    </row>
    <row r="93" spans="1:16" x14ac:dyDescent="0.2">
      <c r="A93" s="154"/>
      <c r="B93" s="17"/>
      <c r="C93" s="17"/>
      <c r="D93" s="17"/>
      <c r="E93" s="17"/>
      <c r="F93" s="193"/>
      <c r="G93" s="193"/>
      <c r="H93" s="193"/>
      <c r="I93" s="193"/>
      <c r="J93" s="193"/>
      <c r="K93" s="193"/>
      <c r="L93" s="193"/>
      <c r="M93" s="193"/>
      <c r="N93" s="193"/>
      <c r="O93" s="193"/>
      <c r="P93" s="17"/>
    </row>
    <row r="94" spans="1:16" x14ac:dyDescent="0.2">
      <c r="A94" s="154"/>
      <c r="B94" s="17"/>
      <c r="C94" s="17"/>
      <c r="D94" s="17"/>
      <c r="E94" s="17"/>
      <c r="F94" s="193"/>
      <c r="G94" s="193"/>
      <c r="H94" s="193"/>
      <c r="I94" s="193"/>
      <c r="J94" s="193"/>
      <c r="K94" s="193"/>
      <c r="L94" s="193"/>
      <c r="M94" s="193"/>
      <c r="N94" s="193"/>
      <c r="O94" s="193"/>
      <c r="P94" s="17"/>
    </row>
    <row r="95" spans="1:16" x14ac:dyDescent="0.2">
      <c r="A95" s="26"/>
      <c r="B95" s="17"/>
      <c r="C95" s="17"/>
      <c r="D95" s="17"/>
      <c r="E95" s="17"/>
      <c r="F95" s="193"/>
      <c r="G95" s="193"/>
      <c r="H95" s="193"/>
      <c r="I95" s="193"/>
      <c r="J95" s="193"/>
      <c r="K95" s="193"/>
      <c r="L95" s="193"/>
      <c r="M95" s="193"/>
      <c r="N95" s="193"/>
      <c r="O95" s="193"/>
      <c r="P95" s="17"/>
    </row>
    <row r="96" spans="1:16" x14ac:dyDescent="0.2">
      <c r="A96" s="17"/>
      <c r="B96" s="17"/>
      <c r="C96" s="17"/>
      <c r="D96" s="17"/>
      <c r="E96" s="17"/>
      <c r="F96" s="193"/>
      <c r="G96" s="193"/>
      <c r="H96" s="193"/>
      <c r="I96" s="193"/>
      <c r="J96" s="193"/>
      <c r="K96" s="193"/>
      <c r="L96" s="193"/>
      <c r="M96" s="193"/>
      <c r="N96" s="193"/>
      <c r="O96" s="193"/>
      <c r="P96" s="17"/>
    </row>
    <row r="97" spans="1:19" ht="15.75" x14ac:dyDescent="0.25">
      <c r="A97" s="336"/>
      <c r="B97" s="336"/>
      <c r="C97" s="336"/>
      <c r="D97" s="336"/>
      <c r="E97" s="336"/>
      <c r="F97" s="336"/>
      <c r="G97" s="336"/>
      <c r="H97" s="336"/>
      <c r="I97" s="336"/>
      <c r="J97" s="336"/>
      <c r="K97" s="17"/>
      <c r="L97" s="17"/>
      <c r="M97" s="17"/>
      <c r="N97" s="17"/>
      <c r="O97" s="17"/>
      <c r="P97" s="17"/>
      <c r="Q97" s="17"/>
      <c r="R97" s="17"/>
      <c r="S97" s="17"/>
    </row>
    <row r="98" spans="1:19" x14ac:dyDescent="0.2">
      <c r="A98" s="154"/>
      <c r="B98" s="17"/>
      <c r="C98" s="17"/>
      <c r="D98" s="17"/>
      <c r="E98" s="17"/>
      <c r="F98" s="286"/>
      <c r="G98" s="286"/>
      <c r="H98" s="286"/>
      <c r="I98" s="286"/>
      <c r="J98" s="286"/>
      <c r="K98" s="286"/>
      <c r="L98" s="286"/>
      <c r="M98" s="286"/>
      <c r="N98" s="286"/>
      <c r="O98" s="286"/>
      <c r="P98" s="17"/>
      <c r="Q98" s="359"/>
      <c r="R98" s="193"/>
      <c r="S98" s="17"/>
    </row>
    <row r="99" spans="1:19" x14ac:dyDescent="0.2">
      <c r="A99" s="154"/>
      <c r="B99" s="17"/>
      <c r="C99" s="17"/>
      <c r="D99" s="17"/>
      <c r="E99" s="17"/>
      <c r="F99" s="498"/>
      <c r="G99" s="498"/>
      <c r="H99" s="498"/>
      <c r="I99" s="498"/>
      <c r="J99" s="498"/>
      <c r="K99" s="498"/>
      <c r="L99" s="498"/>
      <c r="M99" s="498"/>
      <c r="N99" s="498"/>
      <c r="O99" s="498"/>
      <c r="P99" s="17"/>
      <c r="Q99" s="359"/>
      <c r="R99" s="193"/>
      <c r="S99" s="17"/>
    </row>
    <row r="100" spans="1:19" x14ac:dyDescent="0.2">
      <c r="A100" s="154"/>
      <c r="B100" s="17"/>
      <c r="C100" s="17"/>
      <c r="D100" s="17"/>
      <c r="E100" s="17"/>
      <c r="F100" s="499"/>
      <c r="G100" s="499"/>
      <c r="H100" s="499"/>
      <c r="I100" s="499"/>
      <c r="J100" s="499"/>
      <c r="K100" s="499"/>
      <c r="L100" s="499"/>
      <c r="M100" s="499"/>
      <c r="N100" s="499"/>
      <c r="O100" s="499"/>
      <c r="P100" s="17"/>
      <c r="Q100" s="359"/>
      <c r="R100" s="193"/>
      <c r="S100" s="17"/>
    </row>
    <row r="101" spans="1:19" x14ac:dyDescent="0.2">
      <c r="A101" s="26"/>
      <c r="B101" s="17"/>
      <c r="C101" s="17"/>
      <c r="D101" s="17"/>
      <c r="E101" s="17"/>
      <c r="F101" s="498"/>
      <c r="G101" s="498"/>
      <c r="H101" s="498"/>
      <c r="I101" s="498"/>
      <c r="J101" s="498"/>
      <c r="K101" s="498"/>
      <c r="L101" s="498"/>
      <c r="M101" s="498"/>
      <c r="N101" s="498"/>
      <c r="O101" s="498"/>
      <c r="P101" s="17"/>
      <c r="Q101" s="359"/>
      <c r="R101" s="193"/>
      <c r="S101" s="17"/>
    </row>
    <row r="102" spans="1:19" x14ac:dyDescent="0.2">
      <c r="A102" s="26"/>
      <c r="B102" s="17"/>
      <c r="C102" s="17"/>
      <c r="D102" s="17"/>
      <c r="E102" s="17"/>
      <c r="F102" s="498"/>
      <c r="G102" s="498"/>
      <c r="H102" s="498"/>
      <c r="I102" s="498"/>
      <c r="J102" s="498"/>
      <c r="K102" s="498"/>
      <c r="L102" s="498"/>
      <c r="M102" s="498"/>
      <c r="N102" s="498"/>
      <c r="O102" s="498"/>
      <c r="P102" s="17"/>
      <c r="Q102" s="359"/>
      <c r="R102" s="71"/>
      <c r="S102" s="17"/>
    </row>
    <row r="103" spans="1:19" x14ac:dyDescent="0.2">
      <c r="A103" s="26"/>
      <c r="B103" s="17"/>
      <c r="C103" s="17"/>
      <c r="D103" s="17"/>
      <c r="E103" s="17"/>
      <c r="F103" s="498"/>
      <c r="G103" s="498"/>
      <c r="H103" s="498"/>
      <c r="I103" s="498"/>
      <c r="J103" s="498"/>
      <c r="K103" s="498"/>
      <c r="L103" s="498"/>
      <c r="M103" s="498"/>
      <c r="N103" s="498"/>
      <c r="O103" s="498"/>
      <c r="P103" s="17"/>
      <c r="Q103" s="359"/>
      <c r="R103" s="193"/>
      <c r="S103" s="17"/>
    </row>
    <row r="104" spans="1:19" x14ac:dyDescent="0.2">
      <c r="A104" s="26"/>
      <c r="B104" s="17"/>
      <c r="C104" s="17"/>
      <c r="D104" s="17"/>
      <c r="E104" s="17"/>
      <c r="F104" s="498"/>
      <c r="G104" s="498"/>
      <c r="H104" s="498"/>
      <c r="I104" s="498"/>
      <c r="J104" s="498"/>
      <c r="K104" s="498"/>
      <c r="L104" s="498"/>
      <c r="M104" s="498"/>
      <c r="N104" s="498"/>
      <c r="O104" s="498"/>
      <c r="P104" s="17"/>
      <c r="Q104" s="359"/>
      <c r="R104" s="193"/>
      <c r="S104" s="17"/>
    </row>
    <row r="105" spans="1:19" x14ac:dyDescent="0.2">
      <c r="A105" s="26"/>
      <c r="B105" s="17"/>
      <c r="C105" s="17"/>
      <c r="D105" s="17"/>
      <c r="E105" s="17"/>
      <c r="F105" s="498"/>
      <c r="G105" s="498"/>
      <c r="H105" s="498"/>
      <c r="I105" s="498"/>
      <c r="J105" s="498"/>
      <c r="K105" s="498"/>
      <c r="L105" s="498"/>
      <c r="M105" s="498"/>
      <c r="N105" s="498"/>
      <c r="O105" s="498"/>
      <c r="P105" s="17"/>
      <c r="Q105" s="359"/>
      <c r="R105" s="193"/>
      <c r="S105" s="17"/>
    </row>
    <row r="106" spans="1:19" x14ac:dyDescent="0.2">
      <c r="A106" s="26"/>
      <c r="B106" s="17"/>
      <c r="C106" s="17"/>
      <c r="D106" s="17"/>
      <c r="E106" s="17"/>
      <c r="F106" s="498"/>
      <c r="G106" s="498"/>
      <c r="H106" s="498"/>
      <c r="I106" s="498"/>
      <c r="J106" s="498"/>
      <c r="K106" s="498"/>
      <c r="L106" s="498"/>
      <c r="M106" s="498"/>
      <c r="N106" s="498"/>
      <c r="O106" s="498"/>
      <c r="P106" s="17"/>
      <c r="Q106" s="359"/>
      <c r="R106" s="193"/>
      <c r="S106" s="17"/>
    </row>
    <row r="107" spans="1:19" x14ac:dyDescent="0.2">
      <c r="A107" s="26"/>
      <c r="B107" s="17"/>
      <c r="C107" s="17"/>
      <c r="D107" s="17"/>
      <c r="E107" s="17"/>
      <c r="F107" s="498"/>
      <c r="G107" s="498"/>
      <c r="H107" s="498"/>
      <c r="I107" s="498"/>
      <c r="J107" s="498"/>
      <c r="K107" s="498"/>
      <c r="L107" s="498"/>
      <c r="M107" s="498"/>
      <c r="N107" s="498"/>
      <c r="O107" s="498"/>
      <c r="P107" s="17"/>
      <c r="Q107" s="359"/>
      <c r="R107" s="193"/>
      <c r="S107" s="17"/>
    </row>
    <row r="108" spans="1:19" x14ac:dyDescent="0.2">
      <c r="A108" s="26"/>
      <c r="B108" s="17"/>
      <c r="C108" s="17"/>
      <c r="D108" s="17"/>
      <c r="E108" s="17"/>
      <c r="F108" s="193"/>
      <c r="G108" s="193"/>
      <c r="H108" s="193"/>
      <c r="I108" s="193"/>
      <c r="J108" s="193"/>
      <c r="K108" s="193"/>
      <c r="L108" s="193"/>
      <c r="M108" s="193"/>
      <c r="N108" s="193"/>
      <c r="O108" s="193"/>
      <c r="P108" s="17"/>
      <c r="Q108" s="17"/>
      <c r="R108" s="17"/>
      <c r="S108" s="17"/>
    </row>
    <row r="109" spans="1:19" x14ac:dyDescent="0.2">
      <c r="A109" s="26"/>
      <c r="B109" s="17"/>
      <c r="C109" s="17"/>
      <c r="D109" s="17"/>
      <c r="E109" s="17"/>
      <c r="F109" s="193"/>
      <c r="G109" s="193"/>
      <c r="H109" s="193"/>
      <c r="I109" s="193"/>
      <c r="J109" s="193"/>
      <c r="K109" s="193"/>
      <c r="L109" s="193"/>
      <c r="M109" s="193"/>
      <c r="N109" s="193"/>
      <c r="O109" s="193"/>
      <c r="P109" s="17"/>
      <c r="Q109" s="17"/>
      <c r="R109" s="17"/>
      <c r="S109" s="17"/>
    </row>
    <row r="110" spans="1:19" x14ac:dyDescent="0.2">
      <c r="A110" s="26"/>
      <c r="B110" s="17"/>
      <c r="C110" s="17"/>
      <c r="D110" s="17"/>
      <c r="E110" s="17"/>
      <c r="F110" s="498"/>
      <c r="G110" s="498"/>
      <c r="H110" s="498"/>
      <c r="I110" s="498"/>
      <c r="J110" s="498"/>
      <c r="K110" s="498"/>
      <c r="L110" s="498"/>
      <c r="M110" s="498"/>
      <c r="N110" s="498"/>
      <c r="O110" s="498"/>
      <c r="P110" s="17"/>
      <c r="Q110" s="17"/>
      <c r="R110" s="17"/>
      <c r="S110" s="17"/>
    </row>
    <row r="111" spans="1:19" x14ac:dyDescent="0.2">
      <c r="A111" s="17"/>
      <c r="B111" s="17"/>
      <c r="C111" s="17"/>
      <c r="D111" s="17"/>
      <c r="E111" s="17"/>
      <c r="F111" s="498"/>
      <c r="G111" s="498"/>
      <c r="H111" s="498"/>
      <c r="I111" s="498"/>
      <c r="J111" s="498"/>
      <c r="K111" s="498"/>
      <c r="L111" s="498"/>
      <c r="M111" s="498"/>
      <c r="N111" s="498"/>
      <c r="O111" s="498"/>
      <c r="P111" s="17"/>
      <c r="Q111" s="17"/>
      <c r="R111" s="17"/>
      <c r="S111" s="17"/>
    </row>
    <row r="112" spans="1:19" x14ac:dyDescent="0.2">
      <c r="A112" s="17"/>
      <c r="B112" s="17"/>
      <c r="C112" s="17"/>
      <c r="D112" s="17"/>
      <c r="E112" s="17"/>
      <c r="F112" s="193"/>
      <c r="G112" s="193"/>
      <c r="H112" s="193"/>
      <c r="I112" s="193"/>
      <c r="J112" s="193"/>
      <c r="K112" s="193"/>
      <c r="L112" s="193"/>
      <c r="M112" s="193"/>
      <c r="N112" s="193"/>
      <c r="O112" s="193"/>
      <c r="P112" s="17"/>
      <c r="Q112" s="17"/>
      <c r="R112" s="17"/>
      <c r="S112" s="17"/>
    </row>
    <row r="113" spans="1:16" x14ac:dyDescent="0.2">
      <c r="A113" s="17"/>
      <c r="B113" s="17"/>
      <c r="C113" s="17"/>
      <c r="D113" s="17"/>
      <c r="E113" s="17"/>
      <c r="F113" s="17"/>
      <c r="G113" s="17"/>
      <c r="H113" s="17"/>
      <c r="I113" s="17"/>
      <c r="J113" s="17"/>
      <c r="K113" s="17"/>
      <c r="L113" s="17"/>
      <c r="M113" s="17"/>
      <c r="N113" s="17"/>
      <c r="O113" s="17"/>
      <c r="P113" s="17"/>
    </row>
    <row r="114" spans="1:16" x14ac:dyDescent="0.2">
      <c r="A114" s="17"/>
      <c r="B114" s="17"/>
      <c r="C114" s="17"/>
      <c r="D114" s="17"/>
      <c r="E114" s="17"/>
      <c r="F114" s="193"/>
      <c r="G114" s="193"/>
      <c r="H114" s="193"/>
      <c r="I114" s="193"/>
      <c r="J114" s="193"/>
      <c r="K114" s="17"/>
      <c r="L114" s="17"/>
      <c r="M114" s="17"/>
      <c r="N114" s="17"/>
      <c r="O114" s="17"/>
      <c r="P114" s="17"/>
    </row>
    <row r="115" spans="1:16" x14ac:dyDescent="0.2">
      <c r="A115" s="17"/>
      <c r="B115" s="17"/>
      <c r="C115" s="17"/>
      <c r="D115" s="17"/>
      <c r="E115" s="17"/>
      <c r="F115" s="193"/>
      <c r="G115" s="193"/>
      <c r="H115" s="193"/>
      <c r="I115" s="193"/>
      <c r="J115" s="193"/>
      <c r="K115" s="17"/>
      <c r="L115" s="17"/>
      <c r="M115" s="17"/>
      <c r="N115" s="17"/>
      <c r="O115" s="17"/>
      <c r="P115" s="17"/>
    </row>
    <row r="116" spans="1:16" x14ac:dyDescent="0.2">
      <c r="A116" s="17"/>
      <c r="B116" s="17"/>
      <c r="C116" s="17"/>
      <c r="D116" s="17"/>
      <c r="E116" s="17"/>
      <c r="F116" s="193"/>
      <c r="G116" s="193"/>
      <c r="H116" s="193"/>
      <c r="I116" s="193"/>
      <c r="J116" s="193"/>
      <c r="K116" s="17"/>
      <c r="L116" s="17"/>
      <c r="M116" s="17"/>
      <c r="N116" s="17"/>
      <c r="O116" s="17"/>
      <c r="P116" s="17"/>
    </row>
    <row r="117" spans="1:16" x14ac:dyDescent="0.2">
      <c r="A117" s="17"/>
      <c r="B117" s="17"/>
      <c r="C117" s="17"/>
      <c r="D117" s="17"/>
      <c r="E117" s="17"/>
      <c r="F117" s="193"/>
      <c r="G117" s="193"/>
      <c r="H117" s="193"/>
      <c r="I117" s="193"/>
      <c r="J117" s="193"/>
      <c r="K117" s="17"/>
      <c r="L117" s="17"/>
      <c r="M117" s="17"/>
      <c r="N117" s="17"/>
      <c r="O117" s="17"/>
      <c r="P117" s="17"/>
    </row>
    <row r="118" spans="1:16" x14ac:dyDescent="0.2">
      <c r="A118" s="17"/>
      <c r="B118" s="17"/>
      <c r="C118" s="17"/>
      <c r="D118" s="17"/>
      <c r="E118" s="17"/>
      <c r="F118" s="193"/>
      <c r="G118" s="193"/>
      <c r="H118" s="193"/>
      <c r="I118" s="193"/>
      <c r="J118" s="193"/>
      <c r="K118" s="17"/>
      <c r="L118" s="17"/>
      <c r="M118" s="17"/>
      <c r="N118" s="17"/>
      <c r="O118" s="17"/>
      <c r="P118" s="17"/>
    </row>
    <row r="119" spans="1:16" x14ac:dyDescent="0.2">
      <c r="A119" s="17"/>
      <c r="B119" s="17"/>
      <c r="C119" s="17"/>
      <c r="D119" s="17"/>
      <c r="E119" s="17"/>
      <c r="F119" s="193"/>
      <c r="G119" s="193"/>
      <c r="H119" s="193"/>
      <c r="I119" s="193"/>
      <c r="J119" s="193"/>
      <c r="K119" s="17"/>
      <c r="L119" s="17"/>
      <c r="M119" s="17"/>
      <c r="N119" s="17"/>
      <c r="O119" s="17"/>
      <c r="P119" s="17"/>
    </row>
    <row r="120" spans="1:16" x14ac:dyDescent="0.2">
      <c r="A120" s="17"/>
      <c r="B120" s="17"/>
      <c r="C120" s="17"/>
      <c r="D120" s="17"/>
      <c r="E120" s="17"/>
      <c r="F120" s="193"/>
      <c r="G120" s="193"/>
      <c r="H120" s="193"/>
      <c r="I120" s="193"/>
      <c r="J120" s="193"/>
      <c r="K120" s="17"/>
      <c r="L120" s="17"/>
      <c r="M120" s="17"/>
      <c r="N120" s="17"/>
      <c r="O120" s="17"/>
      <c r="P120" s="17"/>
    </row>
    <row r="121" spans="1:16" x14ac:dyDescent="0.2">
      <c r="A121" s="17"/>
      <c r="B121" s="17"/>
      <c r="C121" s="17"/>
      <c r="D121" s="17"/>
      <c r="E121" s="17"/>
      <c r="F121" s="193"/>
      <c r="G121" s="193"/>
      <c r="H121" s="193"/>
      <c r="I121" s="193"/>
      <c r="J121" s="193"/>
      <c r="K121" s="17"/>
      <c r="L121" s="17"/>
      <c r="M121" s="17"/>
      <c r="N121" s="17"/>
      <c r="O121" s="17"/>
      <c r="P121" s="17"/>
    </row>
    <row r="122" spans="1:16" x14ac:dyDescent="0.2">
      <c r="A122" s="17"/>
      <c r="B122" s="17"/>
      <c r="C122" s="17"/>
      <c r="D122" s="17"/>
      <c r="E122" s="17"/>
      <c r="F122" s="193"/>
      <c r="G122" s="193"/>
      <c r="H122" s="193"/>
      <c r="I122" s="193"/>
      <c r="J122" s="193"/>
      <c r="K122" s="17"/>
      <c r="L122" s="17"/>
      <c r="M122" s="17"/>
      <c r="N122" s="17"/>
      <c r="O122" s="17"/>
      <c r="P122" s="17"/>
    </row>
    <row r="123" spans="1:16" x14ac:dyDescent="0.2">
      <c r="A123" s="17"/>
      <c r="B123" s="17"/>
      <c r="C123" s="17"/>
      <c r="D123" s="17"/>
      <c r="E123" s="17"/>
      <c r="F123" s="193"/>
      <c r="G123" s="193"/>
      <c r="H123" s="193"/>
      <c r="I123" s="193"/>
      <c r="J123" s="193"/>
      <c r="K123" s="17"/>
      <c r="L123" s="17"/>
      <c r="M123" s="17"/>
      <c r="N123" s="17"/>
      <c r="O123" s="17"/>
      <c r="P123" s="17"/>
    </row>
    <row r="124" spans="1:16" x14ac:dyDescent="0.2">
      <c r="A124" s="17"/>
      <c r="B124" s="17"/>
      <c r="C124" s="17"/>
      <c r="D124" s="17"/>
      <c r="E124" s="17"/>
      <c r="F124" s="193"/>
      <c r="G124" s="193"/>
      <c r="H124" s="193"/>
      <c r="I124" s="193"/>
      <c r="J124" s="193"/>
      <c r="K124" s="17"/>
      <c r="L124" s="17"/>
      <c r="M124" s="17"/>
      <c r="N124" s="17"/>
      <c r="O124" s="17"/>
      <c r="P124" s="17"/>
    </row>
    <row r="125" spans="1:16" x14ac:dyDescent="0.2">
      <c r="A125" s="17"/>
      <c r="B125" s="17"/>
      <c r="C125" s="17"/>
      <c r="D125" s="17"/>
      <c r="E125" s="17"/>
      <c r="F125" s="193"/>
      <c r="G125" s="193"/>
      <c r="H125" s="193"/>
      <c r="I125" s="193"/>
      <c r="J125" s="193"/>
      <c r="K125" s="17"/>
      <c r="L125" s="17"/>
      <c r="M125" s="17"/>
      <c r="N125" s="17"/>
      <c r="O125" s="17"/>
      <c r="P125" s="17"/>
    </row>
    <row r="126" spans="1:16" x14ac:dyDescent="0.2">
      <c r="A126" s="17"/>
      <c r="B126" s="17"/>
      <c r="C126" s="17"/>
      <c r="D126" s="17"/>
      <c r="E126" s="17"/>
      <c r="F126" s="193"/>
      <c r="G126" s="193"/>
      <c r="H126" s="193"/>
      <c r="I126" s="193"/>
      <c r="J126" s="193"/>
      <c r="K126" s="17"/>
      <c r="L126" s="17"/>
      <c r="M126" s="17"/>
      <c r="N126" s="17"/>
      <c r="O126" s="17"/>
      <c r="P126" s="17"/>
    </row>
    <row r="127" spans="1:16" x14ac:dyDescent="0.2">
      <c r="A127" s="17"/>
      <c r="B127" s="17"/>
      <c r="C127" s="17"/>
      <c r="D127" s="17"/>
      <c r="E127" s="17"/>
      <c r="F127" s="193"/>
      <c r="G127" s="193"/>
      <c r="H127" s="193"/>
      <c r="I127" s="193"/>
      <c r="J127" s="193"/>
      <c r="K127" s="17"/>
      <c r="L127" s="17"/>
      <c r="M127" s="17"/>
      <c r="N127" s="17"/>
      <c r="O127" s="17"/>
      <c r="P127" s="17"/>
    </row>
    <row r="128" spans="1:16" x14ac:dyDescent="0.2">
      <c r="A128" s="17"/>
      <c r="B128" s="17"/>
      <c r="C128" s="17"/>
      <c r="D128" s="17"/>
      <c r="E128" s="17"/>
      <c r="F128" s="193"/>
      <c r="G128" s="193"/>
      <c r="H128" s="193"/>
      <c r="I128" s="193"/>
      <c r="J128" s="193"/>
      <c r="K128" s="17"/>
      <c r="L128" s="17"/>
      <c r="M128" s="17"/>
      <c r="N128" s="17"/>
      <c r="O128" s="17"/>
      <c r="P128" s="17"/>
    </row>
    <row r="129" spans="1:16" x14ac:dyDescent="0.2">
      <c r="A129" s="17"/>
      <c r="B129" s="17"/>
      <c r="C129" s="17"/>
      <c r="D129" s="17"/>
      <c r="E129" s="17"/>
      <c r="F129" s="193"/>
      <c r="G129" s="193"/>
      <c r="H129" s="193"/>
      <c r="I129" s="193"/>
      <c r="J129" s="193"/>
      <c r="K129" s="17"/>
      <c r="L129" s="17"/>
      <c r="M129" s="17"/>
      <c r="N129" s="17"/>
      <c r="O129" s="17"/>
      <c r="P129" s="17"/>
    </row>
    <row r="130" spans="1:16" x14ac:dyDescent="0.2">
      <c r="A130" s="17"/>
      <c r="B130" s="17"/>
      <c r="C130" s="17"/>
      <c r="D130" s="17"/>
      <c r="E130" s="17"/>
      <c r="F130" s="193"/>
      <c r="G130" s="193"/>
      <c r="H130" s="193"/>
      <c r="I130" s="193"/>
      <c r="J130" s="193"/>
      <c r="K130" s="17"/>
      <c r="L130" s="17"/>
      <c r="M130" s="17"/>
      <c r="N130" s="17"/>
      <c r="O130" s="17"/>
      <c r="P130" s="17"/>
    </row>
    <row r="131" spans="1:16" x14ac:dyDescent="0.2">
      <c r="A131" s="17"/>
      <c r="B131" s="17"/>
      <c r="C131" s="17"/>
      <c r="D131" s="17"/>
      <c r="E131" s="17"/>
      <c r="F131" s="193"/>
      <c r="G131" s="193"/>
      <c r="H131" s="193"/>
      <c r="I131" s="193"/>
      <c r="J131" s="193"/>
      <c r="K131" s="17"/>
      <c r="L131" s="17"/>
      <c r="M131" s="17"/>
      <c r="N131" s="17"/>
      <c r="O131" s="17"/>
      <c r="P131" s="17"/>
    </row>
    <row r="132" spans="1:16" x14ac:dyDescent="0.2">
      <c r="A132" s="17"/>
      <c r="B132" s="17"/>
      <c r="C132" s="17"/>
      <c r="D132" s="17"/>
      <c r="E132" s="17"/>
      <c r="F132" s="193"/>
      <c r="G132" s="193"/>
      <c r="H132" s="193"/>
      <c r="I132" s="193"/>
      <c r="J132" s="193"/>
      <c r="K132" s="17"/>
      <c r="L132" s="17"/>
      <c r="M132" s="17"/>
      <c r="N132" s="17"/>
      <c r="O132" s="17"/>
      <c r="P132" s="17"/>
    </row>
    <row r="133" spans="1:16" x14ac:dyDescent="0.2">
      <c r="A133" s="17"/>
      <c r="B133" s="17"/>
      <c r="C133" s="17"/>
      <c r="D133" s="17"/>
      <c r="E133" s="17"/>
      <c r="F133" s="193"/>
      <c r="G133" s="193"/>
      <c r="H133" s="193"/>
      <c r="I133" s="193"/>
      <c r="J133" s="193"/>
      <c r="K133" s="17"/>
      <c r="L133" s="17"/>
      <c r="M133" s="17"/>
      <c r="N133" s="17"/>
      <c r="O133" s="17"/>
      <c r="P133" s="17"/>
    </row>
    <row r="134" spans="1:16" x14ac:dyDescent="0.2">
      <c r="A134" s="17"/>
      <c r="B134" s="17"/>
      <c r="C134" s="17"/>
      <c r="D134" s="17"/>
      <c r="E134" s="17"/>
      <c r="F134" s="193"/>
      <c r="G134" s="193"/>
      <c r="H134" s="193"/>
      <c r="I134" s="193"/>
      <c r="J134" s="193"/>
      <c r="K134" s="17"/>
      <c r="L134" s="17"/>
      <c r="M134" s="17"/>
      <c r="N134" s="17"/>
      <c r="O134" s="17"/>
      <c r="P134" s="17"/>
    </row>
    <row r="135" spans="1:16" x14ac:dyDescent="0.2">
      <c r="A135" s="17"/>
      <c r="B135" s="17"/>
      <c r="C135" s="17"/>
      <c r="D135" s="17"/>
      <c r="E135" s="17"/>
      <c r="F135" s="193"/>
      <c r="G135" s="193"/>
      <c r="H135" s="193"/>
      <c r="I135" s="193"/>
      <c r="J135" s="193"/>
      <c r="K135" s="17"/>
      <c r="L135" s="17"/>
      <c r="M135" s="17"/>
      <c r="N135" s="17"/>
      <c r="O135" s="17"/>
      <c r="P135" s="17"/>
    </row>
    <row r="136" spans="1:16" x14ac:dyDescent="0.2">
      <c r="A136" s="17"/>
      <c r="B136" s="17"/>
      <c r="C136" s="17"/>
      <c r="D136" s="17"/>
      <c r="E136" s="17"/>
      <c r="F136" s="193"/>
      <c r="G136" s="193"/>
      <c r="H136" s="193"/>
      <c r="I136" s="193"/>
      <c r="J136" s="193"/>
      <c r="K136" s="17"/>
      <c r="L136" s="17"/>
      <c r="M136" s="17"/>
      <c r="N136" s="17"/>
      <c r="O136" s="17"/>
      <c r="P136" s="17"/>
    </row>
    <row r="137" spans="1:16" x14ac:dyDescent="0.2">
      <c r="A137" s="17"/>
      <c r="B137" s="17"/>
      <c r="C137" s="17"/>
      <c r="D137" s="17"/>
      <c r="E137" s="17"/>
      <c r="F137" s="193"/>
      <c r="G137" s="193"/>
      <c r="H137" s="193"/>
      <c r="I137" s="193"/>
      <c r="J137" s="193"/>
      <c r="K137" s="17"/>
      <c r="L137" s="17"/>
      <c r="M137" s="17"/>
      <c r="N137" s="17"/>
      <c r="O137" s="17"/>
      <c r="P137" s="17"/>
    </row>
    <row r="138" spans="1:16" x14ac:dyDescent="0.2">
      <c r="A138" s="17"/>
      <c r="B138" s="17"/>
      <c r="C138" s="17"/>
      <c r="D138" s="17"/>
      <c r="E138" s="17"/>
      <c r="F138" s="193"/>
      <c r="G138" s="193"/>
      <c r="H138" s="193"/>
      <c r="I138" s="193"/>
      <c r="J138" s="193"/>
      <c r="K138" s="17"/>
      <c r="L138" s="17"/>
      <c r="M138" s="17"/>
      <c r="N138" s="17"/>
      <c r="O138" s="17"/>
      <c r="P138" s="17"/>
    </row>
    <row r="139" spans="1:16" x14ac:dyDescent="0.2">
      <c r="A139" s="17"/>
      <c r="B139" s="17"/>
      <c r="C139" s="17"/>
      <c r="D139" s="17"/>
      <c r="E139" s="17"/>
      <c r="F139" s="193"/>
      <c r="G139" s="193"/>
      <c r="H139" s="193"/>
      <c r="I139" s="193"/>
      <c r="J139" s="193"/>
      <c r="K139" s="17"/>
      <c r="L139" s="17"/>
      <c r="M139" s="17"/>
      <c r="N139" s="17"/>
      <c r="O139" s="17"/>
      <c r="P139" s="17"/>
    </row>
    <row r="140" spans="1:16" x14ac:dyDescent="0.2">
      <c r="A140" s="17"/>
      <c r="B140" s="17"/>
      <c r="C140" s="17"/>
      <c r="D140" s="17"/>
      <c r="E140" s="17"/>
      <c r="F140" s="193"/>
      <c r="G140" s="193"/>
      <c r="H140" s="193"/>
      <c r="I140" s="193"/>
      <c r="J140" s="193"/>
      <c r="K140" s="17"/>
      <c r="L140" s="17"/>
      <c r="M140" s="17"/>
      <c r="N140" s="17"/>
      <c r="O140" s="17"/>
      <c r="P140" s="17"/>
    </row>
    <row r="141" spans="1:16" x14ac:dyDescent="0.2">
      <c r="A141" s="17"/>
      <c r="B141" s="17"/>
      <c r="C141" s="17"/>
      <c r="D141" s="17"/>
      <c r="E141" s="17"/>
      <c r="F141" s="193"/>
      <c r="G141" s="193"/>
      <c r="H141" s="193"/>
      <c r="I141" s="193"/>
      <c r="J141" s="193"/>
      <c r="K141" s="17"/>
      <c r="L141" s="17"/>
      <c r="M141" s="17"/>
      <c r="N141" s="17"/>
      <c r="O141" s="17"/>
      <c r="P141" s="17"/>
    </row>
  </sheetData>
  <mergeCells count="2">
    <mergeCell ref="A1:L1"/>
    <mergeCell ref="A2:L2"/>
  </mergeCells>
  <pageMargins left="0.45" right="0.45" top="0.75" bottom="0.75" header="0.3" footer="0.3"/>
  <pageSetup orientation="portrait" r:id="rId1"/>
  <headerFooter>
    <oddFooter>&amp;C&amp;P&amp;R&amp;F, &amp;D</oddFooter>
  </headerFooter>
  <rowBreaks count="5" manualBreakCount="5">
    <brk id="60" max="16383" man="1"/>
    <brk id="112" max="16383" man="1"/>
    <brk id="167" max="11" man="1"/>
    <brk id="227" max="11" man="1"/>
    <brk id="288" max="11" man="1"/>
  </rowBreaks>
  <colBreaks count="1" manualBreakCount="1">
    <brk id="12" max="1048575" man="1"/>
  </col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K40"/>
  <sheetViews>
    <sheetView workbookViewId="0">
      <selection activeCell="R8" sqref="R8"/>
    </sheetView>
  </sheetViews>
  <sheetFormatPr defaultColWidth="8.85546875" defaultRowHeight="12.75" x14ac:dyDescent="0.2"/>
  <cols>
    <col min="1" max="1" width="61.42578125" customWidth="1"/>
  </cols>
  <sheetData>
    <row r="1" spans="1:11" ht="12.75" customHeight="1" x14ac:dyDescent="0.2">
      <c r="A1" s="505" t="s">
        <v>453</v>
      </c>
      <c r="B1" s="506"/>
      <c r="C1" s="506"/>
      <c r="D1" s="506"/>
      <c r="E1" s="506"/>
      <c r="F1" s="506"/>
      <c r="G1" s="211"/>
      <c r="H1" s="211"/>
      <c r="I1" s="211"/>
      <c r="J1" s="211"/>
      <c r="K1" s="211"/>
    </row>
    <row r="2" spans="1:11" x14ac:dyDescent="0.2">
      <c r="A2" s="506"/>
      <c r="B2" s="506"/>
      <c r="C2" s="506"/>
      <c r="D2" s="506"/>
      <c r="E2" s="506"/>
      <c r="F2" s="506"/>
      <c r="G2" s="211"/>
      <c r="H2" s="211"/>
      <c r="I2" s="211"/>
      <c r="J2" s="211"/>
      <c r="K2" s="211"/>
    </row>
    <row r="3" spans="1:11" x14ac:dyDescent="0.2">
      <c r="A3" s="506"/>
      <c r="B3" s="506"/>
      <c r="C3" s="506"/>
      <c r="D3" s="506"/>
      <c r="E3" s="506"/>
      <c r="F3" s="506"/>
      <c r="G3" s="211"/>
      <c r="H3" s="211"/>
      <c r="I3" s="211"/>
      <c r="J3" s="211"/>
      <c r="K3" s="211"/>
    </row>
    <row r="4" spans="1:11" x14ac:dyDescent="0.2">
      <c r="A4" s="506"/>
      <c r="B4" s="506"/>
      <c r="C4" s="506"/>
      <c r="D4" s="506"/>
      <c r="E4" s="506"/>
      <c r="F4" s="506"/>
      <c r="G4" s="211"/>
      <c r="H4" s="211"/>
      <c r="I4" s="211"/>
      <c r="J4" s="211"/>
      <c r="K4" s="211"/>
    </row>
    <row r="5" spans="1:11" x14ac:dyDescent="0.2">
      <c r="A5" s="506"/>
      <c r="B5" s="506"/>
      <c r="C5" s="506"/>
      <c r="D5" s="506"/>
      <c r="E5" s="506"/>
      <c r="F5" s="506"/>
      <c r="G5" s="211"/>
      <c r="H5" s="211"/>
      <c r="I5" s="211"/>
      <c r="J5" s="211"/>
      <c r="K5" s="211"/>
    </row>
    <row r="6" spans="1:11" x14ac:dyDescent="0.2">
      <c r="A6" s="506"/>
      <c r="B6" s="506"/>
      <c r="C6" s="506"/>
      <c r="D6" s="506"/>
      <c r="E6" s="506"/>
      <c r="F6" s="506"/>
      <c r="G6" s="211"/>
      <c r="H6" s="211"/>
      <c r="I6" s="211"/>
      <c r="J6" s="211"/>
      <c r="K6" s="211"/>
    </row>
    <row r="7" spans="1:11" x14ac:dyDescent="0.2">
      <c r="A7" s="506"/>
      <c r="B7" s="506"/>
      <c r="C7" s="506"/>
      <c r="D7" s="506"/>
      <c r="E7" s="506"/>
      <c r="F7" s="506"/>
      <c r="G7" s="211"/>
      <c r="H7" s="211"/>
      <c r="I7" s="211"/>
      <c r="J7" s="211"/>
      <c r="K7" s="211"/>
    </row>
    <row r="8" spans="1:11" x14ac:dyDescent="0.2">
      <c r="A8" s="506"/>
      <c r="B8" s="506"/>
      <c r="C8" s="506"/>
      <c r="D8" s="506"/>
      <c r="E8" s="506"/>
      <c r="F8" s="506"/>
      <c r="G8" s="211"/>
      <c r="H8" s="211"/>
      <c r="I8" s="211"/>
      <c r="J8" s="211"/>
      <c r="K8" s="211"/>
    </row>
    <row r="9" spans="1:11" x14ac:dyDescent="0.2">
      <c r="A9" s="506"/>
      <c r="B9" s="506"/>
      <c r="C9" s="506"/>
      <c r="D9" s="506"/>
      <c r="E9" s="506"/>
      <c r="F9" s="506"/>
      <c r="G9" s="211"/>
      <c r="H9" s="211"/>
      <c r="I9" s="211"/>
      <c r="J9" s="211"/>
      <c r="K9" s="211"/>
    </row>
    <row r="10" spans="1:11" x14ac:dyDescent="0.2">
      <c r="A10" s="506"/>
      <c r="B10" s="506"/>
      <c r="C10" s="506"/>
      <c r="D10" s="506"/>
      <c r="E10" s="506"/>
      <c r="F10" s="506"/>
      <c r="G10" s="211"/>
      <c r="H10" s="211"/>
      <c r="I10" s="211"/>
      <c r="J10" s="211"/>
      <c r="K10" s="211"/>
    </row>
    <row r="11" spans="1:11" x14ac:dyDescent="0.2">
      <c r="A11" s="506"/>
      <c r="B11" s="506"/>
      <c r="C11" s="506"/>
      <c r="D11" s="506"/>
      <c r="E11" s="506"/>
      <c r="F11" s="506"/>
      <c r="G11" s="211"/>
      <c r="H11" s="211"/>
      <c r="I11" s="211"/>
      <c r="J11" s="211"/>
      <c r="K11" s="211"/>
    </row>
    <row r="12" spans="1:11" x14ac:dyDescent="0.2">
      <c r="A12" s="506"/>
      <c r="B12" s="506"/>
      <c r="C12" s="506"/>
      <c r="D12" s="506"/>
      <c r="E12" s="506"/>
      <c r="F12" s="506"/>
      <c r="G12" s="211"/>
      <c r="H12" s="211"/>
      <c r="I12" s="211"/>
      <c r="J12" s="211"/>
      <c r="K12" s="211"/>
    </row>
    <row r="13" spans="1:11" x14ac:dyDescent="0.2">
      <c r="A13" s="506"/>
      <c r="B13" s="506"/>
      <c r="C13" s="506"/>
      <c r="D13" s="506"/>
      <c r="E13" s="506"/>
      <c r="F13" s="506"/>
      <c r="G13" s="211"/>
      <c r="H13" s="211"/>
      <c r="I13" s="211"/>
      <c r="J13" s="211"/>
      <c r="K13" s="211"/>
    </row>
    <row r="14" spans="1:11" x14ac:dyDescent="0.2">
      <c r="A14" s="506"/>
      <c r="B14" s="506"/>
      <c r="C14" s="506"/>
      <c r="D14" s="506"/>
      <c r="E14" s="506"/>
      <c r="F14" s="506"/>
      <c r="G14" s="211"/>
      <c r="H14" s="211"/>
      <c r="I14" s="211"/>
      <c r="J14" s="211"/>
      <c r="K14" s="211"/>
    </row>
    <row r="15" spans="1:11" x14ac:dyDescent="0.2">
      <c r="A15" s="506"/>
      <c r="B15" s="506"/>
      <c r="C15" s="506"/>
      <c r="D15" s="506"/>
      <c r="E15" s="506"/>
      <c r="F15" s="506"/>
      <c r="G15" s="211"/>
      <c r="H15" s="211"/>
      <c r="I15" s="211"/>
      <c r="J15" s="211"/>
      <c r="K15" s="211"/>
    </row>
    <row r="16" spans="1:11" x14ac:dyDescent="0.2">
      <c r="A16" s="506"/>
      <c r="B16" s="506"/>
      <c r="C16" s="506"/>
      <c r="D16" s="506"/>
      <c r="E16" s="506"/>
      <c r="F16" s="506"/>
      <c r="G16" s="211"/>
      <c r="H16" s="211"/>
      <c r="I16" s="211"/>
      <c r="J16" s="211"/>
      <c r="K16" s="211"/>
    </row>
    <row r="17" spans="1:6" x14ac:dyDescent="0.2">
      <c r="A17" s="506"/>
      <c r="B17" s="506"/>
      <c r="C17" s="506"/>
      <c r="D17" s="506"/>
      <c r="E17" s="506"/>
      <c r="F17" s="506"/>
    </row>
    <row r="18" spans="1:6" x14ac:dyDescent="0.2">
      <c r="A18" s="506"/>
      <c r="B18" s="506"/>
      <c r="C18" s="506"/>
      <c r="D18" s="506"/>
      <c r="E18" s="506"/>
      <c r="F18" s="506"/>
    </row>
    <row r="19" spans="1:6" x14ac:dyDescent="0.2">
      <c r="A19" s="506"/>
      <c r="B19" s="506"/>
      <c r="C19" s="506"/>
      <c r="D19" s="506"/>
      <c r="E19" s="506"/>
      <c r="F19" s="506"/>
    </row>
    <row r="20" spans="1:6" x14ac:dyDescent="0.2">
      <c r="A20" s="506"/>
      <c r="B20" s="506"/>
      <c r="C20" s="506"/>
      <c r="D20" s="506"/>
      <c r="E20" s="506"/>
      <c r="F20" s="506"/>
    </row>
    <row r="21" spans="1:6" x14ac:dyDescent="0.2">
      <c r="A21" s="506"/>
      <c r="B21" s="506"/>
      <c r="C21" s="506"/>
      <c r="D21" s="506"/>
      <c r="E21" s="506"/>
      <c r="F21" s="506"/>
    </row>
    <row r="22" spans="1:6" x14ac:dyDescent="0.2">
      <c r="A22" s="506"/>
      <c r="B22" s="506"/>
      <c r="C22" s="506"/>
      <c r="D22" s="506"/>
      <c r="E22" s="506"/>
      <c r="F22" s="506"/>
    </row>
    <row r="23" spans="1:6" x14ac:dyDescent="0.2">
      <c r="A23" s="506"/>
      <c r="B23" s="506"/>
      <c r="C23" s="506"/>
      <c r="D23" s="506"/>
      <c r="E23" s="506"/>
      <c r="F23" s="506"/>
    </row>
    <row r="24" spans="1:6" x14ac:dyDescent="0.2">
      <c r="A24" s="506"/>
      <c r="B24" s="506"/>
      <c r="C24" s="506"/>
      <c r="D24" s="506"/>
      <c r="E24" s="506"/>
      <c r="F24" s="506"/>
    </row>
    <row r="25" spans="1:6" x14ac:dyDescent="0.2">
      <c r="A25" s="506"/>
      <c r="B25" s="506"/>
      <c r="C25" s="506"/>
      <c r="D25" s="506"/>
      <c r="E25" s="506"/>
      <c r="F25" s="506"/>
    </row>
    <row r="26" spans="1:6" x14ac:dyDescent="0.2">
      <c r="A26" s="506"/>
      <c r="B26" s="506"/>
      <c r="C26" s="506"/>
      <c r="D26" s="506"/>
      <c r="E26" s="506"/>
      <c r="F26" s="506"/>
    </row>
    <row r="27" spans="1:6" x14ac:dyDescent="0.2">
      <c r="A27" s="506"/>
      <c r="B27" s="506"/>
      <c r="C27" s="506"/>
      <c r="D27" s="506"/>
      <c r="E27" s="506"/>
      <c r="F27" s="506"/>
    </row>
    <row r="28" spans="1:6" x14ac:dyDescent="0.2">
      <c r="A28" s="506"/>
      <c r="B28" s="506"/>
      <c r="C28" s="506"/>
      <c r="D28" s="506"/>
      <c r="E28" s="506"/>
      <c r="F28" s="506"/>
    </row>
    <row r="29" spans="1:6" x14ac:dyDescent="0.2">
      <c r="A29" s="506"/>
      <c r="B29" s="506"/>
      <c r="C29" s="506"/>
      <c r="D29" s="506"/>
      <c r="E29" s="506"/>
      <c r="F29" s="506"/>
    </row>
    <row r="30" spans="1:6" x14ac:dyDescent="0.2">
      <c r="A30" s="506"/>
      <c r="B30" s="506"/>
      <c r="C30" s="506"/>
      <c r="D30" s="506"/>
      <c r="E30" s="506"/>
      <c r="F30" s="506"/>
    </row>
    <row r="31" spans="1:6" x14ac:dyDescent="0.2">
      <c r="A31" s="506"/>
      <c r="B31" s="506"/>
      <c r="C31" s="506"/>
      <c r="D31" s="506"/>
      <c r="E31" s="506"/>
      <c r="F31" s="506"/>
    </row>
    <row r="32" spans="1:6" x14ac:dyDescent="0.2">
      <c r="A32" s="506"/>
      <c r="B32" s="506"/>
      <c r="C32" s="506"/>
      <c r="D32" s="506"/>
      <c r="E32" s="506"/>
      <c r="F32" s="506"/>
    </row>
    <row r="33" spans="1:6" x14ac:dyDescent="0.2">
      <c r="A33" s="506"/>
      <c r="B33" s="506"/>
      <c r="C33" s="506"/>
      <c r="D33" s="506"/>
      <c r="E33" s="506"/>
      <c r="F33" s="506"/>
    </row>
    <row r="34" spans="1:6" x14ac:dyDescent="0.2">
      <c r="A34" s="506"/>
      <c r="B34" s="506"/>
      <c r="C34" s="506"/>
      <c r="D34" s="506"/>
      <c r="E34" s="506"/>
      <c r="F34" s="506"/>
    </row>
    <row r="35" spans="1:6" x14ac:dyDescent="0.2">
      <c r="A35" s="506"/>
      <c r="B35" s="506"/>
      <c r="C35" s="506"/>
      <c r="D35" s="506"/>
      <c r="E35" s="506"/>
      <c r="F35" s="506"/>
    </row>
    <row r="36" spans="1:6" x14ac:dyDescent="0.2">
      <c r="A36" s="506"/>
      <c r="B36" s="506"/>
      <c r="C36" s="506"/>
      <c r="D36" s="506"/>
      <c r="E36" s="506"/>
      <c r="F36" s="506"/>
    </row>
    <row r="37" spans="1:6" x14ac:dyDescent="0.2">
      <c r="A37" s="506"/>
      <c r="B37" s="506"/>
      <c r="C37" s="506"/>
      <c r="D37" s="506"/>
      <c r="E37" s="506"/>
      <c r="F37" s="506"/>
    </row>
    <row r="38" spans="1:6" x14ac:dyDescent="0.2">
      <c r="A38" s="506"/>
      <c r="B38" s="506"/>
      <c r="C38" s="506"/>
      <c r="D38" s="506"/>
      <c r="E38" s="506"/>
      <c r="F38" s="506"/>
    </row>
    <row r="39" spans="1:6" x14ac:dyDescent="0.2">
      <c r="A39" s="506"/>
      <c r="B39" s="506"/>
      <c r="C39" s="506"/>
      <c r="D39" s="506"/>
      <c r="E39" s="506"/>
      <c r="F39" s="506"/>
    </row>
    <row r="40" spans="1:6" x14ac:dyDescent="0.2">
      <c r="A40" s="506"/>
      <c r="B40" s="506"/>
      <c r="C40" s="506"/>
      <c r="D40" s="506"/>
      <c r="E40" s="506"/>
      <c r="F40" s="506"/>
    </row>
  </sheetData>
  <sheetProtection password="C99D" sheet="1" objects="1" scenarios="1"/>
  <mergeCells count="1">
    <mergeCell ref="A1:F40"/>
  </mergeCells>
  <phoneticPr fontId="6" type="noConversion"/>
  <pageMargins left="0.75" right="0.75" top="0.5" bottom="0.5" header="0.5" footer="0.5"/>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0"/>
  </sheetPr>
  <dimension ref="A1:Z175"/>
  <sheetViews>
    <sheetView workbookViewId="0">
      <selection activeCell="G16" sqref="G16"/>
    </sheetView>
  </sheetViews>
  <sheetFormatPr defaultColWidth="8.85546875" defaultRowHeight="12.75" x14ac:dyDescent="0.2"/>
  <cols>
    <col min="3" max="3" width="11" customWidth="1"/>
    <col min="4" max="4" width="10.42578125" customWidth="1"/>
    <col min="5" max="5" width="16.42578125" customWidth="1"/>
    <col min="6" max="7" width="11.7109375" bestFit="1" customWidth="1"/>
    <col min="8" max="8" width="12" customWidth="1"/>
    <col min="9" max="9" width="13.85546875" customWidth="1"/>
    <col min="10" max="10" width="14" customWidth="1"/>
    <col min="11" max="11" width="15.85546875" customWidth="1"/>
    <col min="12" max="12" width="11.140625" customWidth="1"/>
    <col min="13" max="13" width="10.140625" customWidth="1"/>
    <col min="15" max="15" width="12.28515625" style="241" customWidth="1"/>
    <col min="25" max="25" width="10" customWidth="1"/>
  </cols>
  <sheetData>
    <row r="1" spans="1:23" ht="18" x14ac:dyDescent="0.25">
      <c r="A1" s="509" t="s">
        <v>188</v>
      </c>
      <c r="B1" s="509"/>
      <c r="C1" s="509"/>
      <c r="D1" s="509"/>
      <c r="E1" s="509"/>
      <c r="F1" s="509"/>
      <c r="G1" s="509"/>
      <c r="H1" s="509"/>
      <c r="I1" s="509"/>
      <c r="J1" s="509"/>
      <c r="K1" s="509"/>
      <c r="L1" s="509"/>
      <c r="M1" s="509"/>
      <c r="N1" s="411" t="s">
        <v>679</v>
      </c>
      <c r="O1" s="237"/>
    </row>
    <row r="2" spans="1:23" ht="15.75" x14ac:dyDescent="0.25">
      <c r="A2" s="16"/>
      <c r="B2" s="8"/>
      <c r="C2" s="8"/>
      <c r="D2" s="8"/>
      <c r="E2" s="340" t="s">
        <v>515</v>
      </c>
      <c r="N2" s="411" t="s">
        <v>680</v>
      </c>
      <c r="O2" s="237"/>
    </row>
    <row r="3" spans="1:23" ht="16.5" thickBot="1" x14ac:dyDescent="0.3">
      <c r="A3" s="16"/>
      <c r="B3" s="16"/>
      <c r="C3" s="35"/>
      <c r="D3" s="150"/>
      <c r="E3" s="339" t="s">
        <v>423</v>
      </c>
      <c r="F3" s="507" t="s">
        <v>200</v>
      </c>
      <c r="G3" s="507"/>
      <c r="H3" s="507"/>
      <c r="I3" s="507"/>
      <c r="J3" s="507"/>
      <c r="K3" s="507"/>
      <c r="M3" s="340" t="s">
        <v>206</v>
      </c>
      <c r="N3" s="397"/>
      <c r="O3" s="16"/>
      <c r="Q3" s="35"/>
      <c r="R3" s="150"/>
      <c r="S3" s="1"/>
      <c r="T3" s="1"/>
      <c r="U3" s="1"/>
      <c r="V3" s="1"/>
      <c r="W3" s="1"/>
    </row>
    <row r="4" spans="1:23" ht="18.75" x14ac:dyDescent="0.35">
      <c r="A4" s="325"/>
      <c r="B4" s="146"/>
      <c r="C4" s="22"/>
      <c r="D4" s="22"/>
      <c r="E4" s="354" t="s">
        <v>681</v>
      </c>
      <c r="F4" s="354"/>
      <c r="G4" s="354" t="s">
        <v>681</v>
      </c>
      <c r="H4" s="354"/>
      <c r="I4" s="354"/>
      <c r="J4" s="354"/>
      <c r="K4" s="354"/>
      <c r="L4" s="354" t="s">
        <v>201</v>
      </c>
      <c r="M4" s="354" t="s">
        <v>202</v>
      </c>
      <c r="N4" s="398"/>
      <c r="O4" s="58"/>
      <c r="Q4" s="22"/>
      <c r="R4" s="22"/>
      <c r="S4" s="10"/>
    </row>
    <row r="5" spans="1:23" ht="15.75" x14ac:dyDescent="0.25">
      <c r="A5" s="325" t="s">
        <v>111</v>
      </c>
      <c r="B5" s="146"/>
      <c r="C5" s="22"/>
      <c r="D5" s="22"/>
      <c r="E5" s="340"/>
      <c r="F5" s="340"/>
      <c r="G5" s="340"/>
      <c r="H5" s="16"/>
      <c r="I5" s="340"/>
      <c r="J5" s="340"/>
      <c r="K5" s="340"/>
      <c r="N5" s="398"/>
      <c r="O5" s="58"/>
      <c r="Q5" s="22"/>
      <c r="R5" s="22"/>
      <c r="S5" s="10"/>
    </row>
    <row r="6" spans="1:23" ht="15.75" x14ac:dyDescent="0.3">
      <c r="A6" s="252" t="s">
        <v>785</v>
      </c>
      <c r="B6" s="146"/>
      <c r="C6" s="22"/>
      <c r="D6" s="22"/>
      <c r="E6" s="104">
        <f t="shared" ref="E6:E18" si="0">IF(M6&gt;0,M6,IF($E$4=$F$4,F6,IF($E$4=$G$4,G6,IF($E$4=$H$4,H6,IF($E$4=$I$4,I6,IF($E$4=$J$4,J6,IF($E$4=$K$4,K6,IF($E$4=$L$4,L6))))))))</f>
        <v>2</v>
      </c>
      <c r="F6" s="133"/>
      <c r="G6" s="133">
        <v>2</v>
      </c>
      <c r="H6" s="240"/>
      <c r="I6" s="256"/>
      <c r="J6" s="133"/>
      <c r="K6" s="133"/>
      <c r="N6" s="398"/>
      <c r="O6" s="58"/>
      <c r="Q6" s="22"/>
      <c r="R6" s="22"/>
      <c r="S6" s="10"/>
    </row>
    <row r="7" spans="1:23" x14ac:dyDescent="0.2">
      <c r="A7" t="s">
        <v>198</v>
      </c>
      <c r="B7" s="146"/>
      <c r="C7" s="22"/>
      <c r="D7" s="22"/>
      <c r="E7" s="104">
        <f t="shared" si="0"/>
        <v>1168</v>
      </c>
      <c r="F7" s="133"/>
      <c r="G7" s="133">
        <v>1168</v>
      </c>
      <c r="H7" s="240"/>
      <c r="I7" s="3"/>
      <c r="J7" s="133"/>
      <c r="K7" s="133"/>
      <c r="L7" s="263"/>
      <c r="M7" s="133"/>
      <c r="N7" s="392"/>
      <c r="O7"/>
      <c r="Q7" s="22"/>
      <c r="R7" s="22"/>
      <c r="S7" s="133"/>
      <c r="T7" s="133"/>
      <c r="U7" s="3"/>
      <c r="V7" s="133"/>
      <c r="W7" s="133"/>
    </row>
    <row r="8" spans="1:23" x14ac:dyDescent="0.2">
      <c r="A8" s="44" t="s">
        <v>779</v>
      </c>
      <c r="B8" s="22"/>
      <c r="C8" s="22"/>
      <c r="D8" s="414" t="s">
        <v>780</v>
      </c>
      <c r="E8" s="104" t="str">
        <f t="shared" si="0"/>
        <v>Open</v>
      </c>
      <c r="F8" s="273"/>
      <c r="G8" s="273" t="s">
        <v>781</v>
      </c>
      <c r="H8" s="273"/>
      <c r="I8" s="273"/>
      <c r="J8" s="273"/>
      <c r="K8" s="273"/>
      <c r="N8" s="399"/>
      <c r="O8" s="162"/>
      <c r="Q8" s="22"/>
      <c r="R8" s="22"/>
      <c r="S8" s="133"/>
      <c r="T8" s="106"/>
      <c r="V8" s="151"/>
      <c r="W8" s="151"/>
    </row>
    <row r="9" spans="1:23" x14ac:dyDescent="0.2">
      <c r="A9" s="12" t="s">
        <v>112</v>
      </c>
      <c r="B9" s="22"/>
      <c r="C9" s="22"/>
      <c r="D9" s="22"/>
      <c r="E9" s="104">
        <f t="shared" si="0"/>
        <v>60</v>
      </c>
      <c r="F9" s="311"/>
      <c r="G9" s="311">
        <f t="shared" ref="G9" si="1">100-G10-G11-G12-G18</f>
        <v>60</v>
      </c>
      <c r="H9" s="311"/>
      <c r="I9" s="311"/>
      <c r="J9" s="106"/>
      <c r="K9" s="151"/>
      <c r="N9" s="399"/>
      <c r="O9" s="162"/>
      <c r="Q9" s="22"/>
      <c r="R9" s="22"/>
      <c r="S9" s="133"/>
      <c r="T9" s="106"/>
      <c r="V9" s="151"/>
      <c r="W9" s="151"/>
    </row>
    <row r="10" spans="1:23" x14ac:dyDescent="0.2">
      <c r="A10" s="12" t="s">
        <v>116</v>
      </c>
      <c r="B10" s="22"/>
      <c r="C10" s="22"/>
      <c r="D10" s="22"/>
      <c r="E10" s="104">
        <f t="shared" si="0"/>
        <v>8</v>
      </c>
      <c r="F10" s="133"/>
      <c r="G10" s="133">
        <v>8</v>
      </c>
      <c r="H10" s="133"/>
      <c r="I10" s="133"/>
      <c r="J10" s="106"/>
      <c r="K10" s="151"/>
      <c r="N10" s="399"/>
      <c r="O10" s="162"/>
      <c r="Q10" s="22"/>
      <c r="R10" s="22"/>
      <c r="S10" s="133"/>
      <c r="T10" s="106"/>
      <c r="V10" s="151"/>
      <c r="W10" s="151"/>
    </row>
    <row r="11" spans="1:23" x14ac:dyDescent="0.2">
      <c r="A11" s="28" t="s">
        <v>117</v>
      </c>
      <c r="B11" s="22"/>
      <c r="C11" s="22"/>
      <c r="D11" s="22"/>
      <c r="E11" s="104">
        <f t="shared" si="0"/>
        <v>2</v>
      </c>
      <c r="F11" s="133"/>
      <c r="G11" s="133">
        <v>2</v>
      </c>
      <c r="H11" s="133"/>
      <c r="I11" s="133"/>
      <c r="J11" s="106"/>
      <c r="K11" s="151"/>
      <c r="N11" s="399"/>
      <c r="O11" s="162"/>
      <c r="Q11" s="22"/>
      <c r="R11" s="22"/>
      <c r="S11" s="133"/>
      <c r="T11" s="106"/>
      <c r="V11" s="151"/>
      <c r="W11" s="151"/>
    </row>
    <row r="12" spans="1:23" x14ac:dyDescent="0.2">
      <c r="A12" s="28" t="s">
        <v>782</v>
      </c>
      <c r="B12" s="22"/>
      <c r="C12" s="22"/>
      <c r="D12" s="22"/>
      <c r="E12" s="104">
        <f t="shared" si="0"/>
        <v>5</v>
      </c>
      <c r="F12" s="133"/>
      <c r="G12" s="133">
        <v>5</v>
      </c>
      <c r="H12" s="133"/>
      <c r="I12" s="133"/>
      <c r="J12" s="106"/>
      <c r="K12" s="151"/>
      <c r="N12" s="399"/>
      <c r="O12" s="162"/>
      <c r="Q12" s="22"/>
      <c r="R12" s="22"/>
      <c r="S12" s="133"/>
      <c r="T12" s="106"/>
      <c r="V12" s="151"/>
      <c r="W12" s="151"/>
    </row>
    <row r="13" spans="1:23" x14ac:dyDescent="0.2">
      <c r="A13" s="162" t="s">
        <v>114</v>
      </c>
      <c r="B13" s="22"/>
      <c r="C13" s="22"/>
      <c r="D13" s="22"/>
      <c r="E13" s="104"/>
      <c r="F13" s="106"/>
      <c r="G13" s="106"/>
      <c r="H13" s="240"/>
      <c r="J13" s="106"/>
      <c r="K13" s="151"/>
      <c r="N13" s="399"/>
      <c r="O13" s="162"/>
      <c r="Q13" s="22"/>
      <c r="R13" s="22"/>
      <c r="S13" s="133"/>
      <c r="T13" s="106"/>
      <c r="V13" s="151"/>
      <c r="W13" s="151"/>
    </row>
    <row r="14" spans="1:23" x14ac:dyDescent="0.2">
      <c r="A14" s="12" t="s">
        <v>112</v>
      </c>
      <c r="B14" s="11"/>
      <c r="C14" s="11"/>
      <c r="D14" s="11"/>
      <c r="E14" s="104">
        <f t="shared" si="0"/>
        <v>0</v>
      </c>
      <c r="F14" s="133"/>
      <c r="G14" s="133"/>
      <c r="H14" s="240"/>
      <c r="I14" s="133"/>
      <c r="J14" s="133"/>
      <c r="K14" s="133"/>
      <c r="N14" s="400"/>
      <c r="O14" s="12"/>
      <c r="Q14" s="11"/>
      <c r="R14" s="11"/>
      <c r="S14" s="133"/>
      <c r="T14" s="133"/>
      <c r="U14" s="133"/>
      <c r="V14" s="133"/>
      <c r="W14" s="133"/>
    </row>
    <row r="15" spans="1:23" x14ac:dyDescent="0.2">
      <c r="A15" s="12" t="s">
        <v>116</v>
      </c>
      <c r="B15" s="36"/>
      <c r="C15" s="36"/>
      <c r="D15" s="36"/>
      <c r="E15" s="104">
        <f t="shared" si="0"/>
        <v>0</v>
      </c>
      <c r="F15" s="133"/>
      <c r="G15" s="133"/>
      <c r="H15" s="240"/>
      <c r="I15" s="133"/>
      <c r="J15" s="133"/>
      <c r="K15" s="133"/>
      <c r="N15" s="400"/>
      <c r="O15" s="12"/>
      <c r="Q15" s="36"/>
      <c r="R15" s="36"/>
      <c r="S15" s="133"/>
      <c r="T15" s="133"/>
      <c r="U15" s="133"/>
      <c r="V15" s="133"/>
      <c r="W15" s="133"/>
    </row>
    <row r="16" spans="1:23" x14ac:dyDescent="0.2">
      <c r="A16" s="10" t="s">
        <v>117</v>
      </c>
      <c r="B16" s="10"/>
      <c r="C16" s="10"/>
      <c r="D16" s="10"/>
      <c r="E16" s="104">
        <f t="shared" si="0"/>
        <v>0</v>
      </c>
      <c r="F16" s="152"/>
      <c r="G16" s="152"/>
      <c r="H16" s="241"/>
      <c r="I16" s="152"/>
      <c r="J16" s="152"/>
      <c r="K16" s="152"/>
      <c r="N16" s="401"/>
      <c r="O16" s="10"/>
      <c r="Q16" s="10"/>
      <c r="R16" s="10"/>
      <c r="S16" s="133"/>
      <c r="T16" s="152"/>
      <c r="U16" s="152"/>
      <c r="V16" s="152"/>
      <c r="W16" s="152"/>
    </row>
    <row r="17" spans="1:23" x14ac:dyDescent="0.2">
      <c r="A17" s="147" t="s">
        <v>271</v>
      </c>
      <c r="B17" s="10"/>
      <c r="C17" s="10"/>
      <c r="D17" s="10"/>
      <c r="E17" s="104" t="str">
        <f t="shared" si="0"/>
        <v>NMP</v>
      </c>
      <c r="F17" s="152"/>
      <c r="G17" s="152" t="s">
        <v>272</v>
      </c>
      <c r="H17" s="237"/>
      <c r="I17" s="273"/>
      <c r="J17" s="273"/>
      <c r="K17" s="152"/>
      <c r="N17" s="402"/>
      <c r="O17" s="147"/>
      <c r="Q17" s="10"/>
      <c r="R17" s="10"/>
      <c r="S17" s="133"/>
      <c r="T17" s="152"/>
      <c r="U17" s="152"/>
      <c r="V17" s="152"/>
      <c r="W17" s="152"/>
    </row>
    <row r="18" spans="1:23" x14ac:dyDescent="0.2">
      <c r="A18" s="147" t="s">
        <v>783</v>
      </c>
      <c r="B18" s="15"/>
      <c r="C18" s="15"/>
      <c r="D18" s="15"/>
      <c r="E18" s="104">
        <f t="shared" si="0"/>
        <v>25</v>
      </c>
      <c r="F18" s="153"/>
      <c r="G18" s="153">
        <v>25</v>
      </c>
      <c r="H18" s="153"/>
      <c r="I18" s="153"/>
      <c r="J18" s="153"/>
      <c r="K18" s="153"/>
      <c r="M18" s="153"/>
      <c r="N18" s="402"/>
      <c r="O18" s="147"/>
      <c r="Q18" s="15"/>
      <c r="R18" s="15"/>
      <c r="S18" s="133"/>
      <c r="T18" s="153"/>
      <c r="U18" s="153"/>
      <c r="V18" s="153"/>
      <c r="W18" s="153"/>
    </row>
    <row r="19" spans="1:23" ht="14.25" x14ac:dyDescent="0.2">
      <c r="A19" s="147" t="s">
        <v>189</v>
      </c>
      <c r="B19" s="15"/>
      <c r="C19" s="15"/>
      <c r="D19" s="15"/>
      <c r="E19" s="104"/>
      <c r="F19" s="106"/>
      <c r="G19" s="106"/>
      <c r="H19" s="242"/>
      <c r="J19" s="106"/>
      <c r="K19" s="153"/>
      <c r="N19" s="402"/>
      <c r="O19" s="147"/>
      <c r="Q19" s="15"/>
      <c r="R19" s="15"/>
      <c r="S19" s="133"/>
      <c r="T19" s="106"/>
      <c r="V19" s="153"/>
      <c r="W19" s="153"/>
    </row>
    <row r="20" spans="1:23" x14ac:dyDescent="0.2">
      <c r="A20" s="12" t="s">
        <v>112</v>
      </c>
      <c r="B20" s="15"/>
      <c r="C20" s="15"/>
      <c r="D20" s="15"/>
      <c r="E20" s="104">
        <f>IF(M20&gt;0,M20,IF($E$4=$F$4,F20,IF($E$4=$G$4,G20,IF($E$4=$H$4,H20,IF($E$4=$I$4,I20,IF($E$4=$J$4,J20,IF($E$4=$K$4,K20,IF($E$4=$L$4,L20))))))))</f>
        <v>2.31</v>
      </c>
      <c r="F20" s="152"/>
      <c r="G20" s="152">
        <v>2.31</v>
      </c>
      <c r="H20" s="242"/>
      <c r="I20" s="152"/>
      <c r="J20" s="152"/>
      <c r="K20" s="152"/>
      <c r="N20" s="400"/>
      <c r="O20" s="12"/>
      <c r="Q20" s="15"/>
      <c r="R20" s="15"/>
      <c r="S20" s="133"/>
      <c r="T20" s="152"/>
      <c r="U20" s="152"/>
      <c r="V20" s="152"/>
      <c r="W20" s="152"/>
    </row>
    <row r="21" spans="1:23" x14ac:dyDescent="0.2">
      <c r="A21" s="12" t="s">
        <v>116</v>
      </c>
      <c r="B21" s="15"/>
      <c r="C21" s="15"/>
      <c r="D21" s="15"/>
      <c r="E21" s="104">
        <f>IF(M21&gt;0,M21,IF($E$4=$F$4,F21,IF($E$4=$G$4,G21,IF($E$4=$H$4,H21,IF($E$4=$I$4,I21,IF($E$4=$J$4,J21,IF($E$4=$K$4,K21,IF($E$4=$L$4,L21))))))))</f>
        <v>1.825</v>
      </c>
      <c r="F21" s="152"/>
      <c r="G21" s="152">
        <v>1.825</v>
      </c>
      <c r="H21" s="242"/>
      <c r="I21" s="152"/>
      <c r="J21" s="152"/>
      <c r="K21" s="152"/>
      <c r="N21" s="400"/>
      <c r="O21" s="12"/>
      <c r="Q21" s="15"/>
      <c r="R21" s="15"/>
      <c r="S21" s="133"/>
      <c r="T21" s="152"/>
      <c r="U21" s="152"/>
      <c r="V21" s="152"/>
      <c r="W21" s="152"/>
    </row>
    <row r="22" spans="1:23" x14ac:dyDescent="0.2">
      <c r="A22" s="10" t="s">
        <v>117</v>
      </c>
      <c r="B22" s="15"/>
      <c r="C22" s="15"/>
      <c r="D22" s="15"/>
      <c r="E22" s="104">
        <f>IF(M22&gt;0,M22,IF($E$4=$F$4,F22,IF($E$4=$G$4,G22,IF($E$4=$H$4,H22,IF($E$4=$I$4,I22,IF($E$4=$J$4,J22,IF($E$4=$K$4,K22,IF($E$4=$L$4,L22))))))))</f>
        <v>1.77</v>
      </c>
      <c r="F22" s="152"/>
      <c r="G22" s="152">
        <v>1.77</v>
      </c>
      <c r="H22" s="242"/>
      <c r="I22" s="152"/>
      <c r="J22" s="152"/>
      <c r="K22" s="152"/>
      <c r="N22" s="401"/>
      <c r="O22" s="10"/>
      <c r="Q22" s="15"/>
      <c r="R22" s="15"/>
      <c r="S22" s="133"/>
      <c r="T22" s="152"/>
      <c r="U22" s="152"/>
      <c r="V22" s="152"/>
      <c r="W22" s="152"/>
    </row>
    <row r="23" spans="1:23" ht="15" x14ac:dyDescent="0.25">
      <c r="A23" s="326" t="s">
        <v>190</v>
      </c>
      <c r="B23" s="26"/>
      <c r="C23" s="26"/>
      <c r="D23" s="26"/>
      <c r="E23" s="104"/>
      <c r="F23" s="106"/>
      <c r="G23" s="106"/>
      <c r="H23" s="240"/>
      <c r="J23" s="106"/>
      <c r="K23" s="154"/>
      <c r="N23" s="403"/>
      <c r="O23" s="146"/>
      <c r="Q23" s="26"/>
      <c r="R23" s="26"/>
      <c r="S23" s="133"/>
      <c r="T23" s="106"/>
      <c r="V23" s="154"/>
      <c r="W23" s="154"/>
    </row>
    <row r="24" spans="1:23" x14ac:dyDescent="0.2">
      <c r="A24" s="28" t="s">
        <v>197</v>
      </c>
      <c r="B24" s="26"/>
      <c r="C24" s="26"/>
      <c r="D24" s="26"/>
      <c r="E24" s="112">
        <f>IF(M24&gt;0,M24,IF($E$4=$F$4,F24,IF($E$4=$G$4,G24,IF($E$4=$H$4,H24,IF($E$4=$I$4,I24,IF($E$4=$J$4,J24,IF($E$4=$K$4,K24,IF($E$4=$L$4,L24))))))))</f>
        <v>1.5</v>
      </c>
      <c r="F24" s="152"/>
      <c r="G24" s="152">
        <v>1.5</v>
      </c>
      <c r="H24" s="152"/>
      <c r="I24" s="152"/>
      <c r="J24" s="306"/>
      <c r="K24" s="306"/>
      <c r="M24" s="152"/>
      <c r="N24" s="404"/>
      <c r="O24" s="28"/>
      <c r="Q24" s="26"/>
      <c r="R24" s="26"/>
      <c r="S24" s="102"/>
      <c r="T24" s="152"/>
      <c r="U24" s="152"/>
      <c r="V24" s="155"/>
      <c r="W24" s="152"/>
    </row>
    <row r="25" spans="1:23" x14ac:dyDescent="0.2">
      <c r="A25" t="s">
        <v>198</v>
      </c>
      <c r="B25" s="26"/>
      <c r="C25" s="26"/>
      <c r="D25" s="26"/>
      <c r="E25" s="104">
        <f>IF(M25&gt;0,M25,IF($E$4=$F$4,F25,IF($E$4=$G$4,G25,IF($E$4=$H$4,H25,IF($E$4=$I$4,I25,IF($E$4=$J$4,J25,IF($E$4=$K$4,K25,IF($E$4=$L$4,L25))))))))</f>
        <v>3861</v>
      </c>
      <c r="F25" s="152"/>
      <c r="G25" s="152">
        <v>3861</v>
      </c>
      <c r="H25" s="152"/>
      <c r="I25" s="152"/>
      <c r="J25" s="152"/>
      <c r="K25" s="152"/>
      <c r="M25" s="152"/>
      <c r="N25" s="392"/>
      <c r="O25"/>
      <c r="Q25" s="26"/>
      <c r="R25" s="26"/>
      <c r="S25" s="133"/>
      <c r="T25" s="152"/>
      <c r="U25" s="152"/>
      <c r="V25" s="134"/>
      <c r="W25" s="152"/>
    </row>
    <row r="26" spans="1:23" x14ac:dyDescent="0.2">
      <c r="A26" s="163" t="s">
        <v>114</v>
      </c>
      <c r="B26" s="26"/>
      <c r="C26" s="26"/>
      <c r="D26" s="26"/>
      <c r="E26" s="104"/>
      <c r="F26" s="106"/>
      <c r="G26" s="106"/>
      <c r="H26" s="240"/>
      <c r="J26" s="106"/>
      <c r="K26" s="106"/>
      <c r="N26" s="405"/>
      <c r="O26" s="163"/>
      <c r="Q26" s="26"/>
      <c r="R26" s="26"/>
      <c r="S26" s="133"/>
      <c r="T26" s="106"/>
      <c r="V26" s="154"/>
      <c r="W26" s="106"/>
    </row>
    <row r="27" spans="1:23" x14ac:dyDescent="0.2">
      <c r="A27" s="51" t="s">
        <v>112</v>
      </c>
      <c r="B27" s="26"/>
      <c r="C27" s="26"/>
      <c r="D27" s="26"/>
      <c r="E27" s="104">
        <f>IF(M27&gt;0,M27,IF($E$4=$F$4,F27,IF($E$4=$G$4,G27,IF($E$4=$H$4,H27,IF($E$4=$I$4,I27,IF($E$4=$J$4,J27,IF($E$4=$K$4,K27,IF($E$4=$L$4,L27))))))))</f>
        <v>100</v>
      </c>
      <c r="F27" s="156"/>
      <c r="G27" s="156">
        <f>100-G28-G29</f>
        <v>100</v>
      </c>
      <c r="H27" s="243"/>
      <c r="I27" s="156"/>
      <c r="J27" s="156"/>
      <c r="K27" s="156"/>
      <c r="N27" s="406"/>
      <c r="O27" s="51"/>
      <c r="Q27" s="26"/>
      <c r="R27" s="26"/>
      <c r="S27" s="133"/>
      <c r="T27" s="156"/>
      <c r="U27" s="156"/>
      <c r="V27" s="156"/>
      <c r="W27" s="156"/>
    </row>
    <row r="28" spans="1:23" x14ac:dyDescent="0.2">
      <c r="A28" s="28" t="s">
        <v>116</v>
      </c>
      <c r="B28" s="26"/>
      <c r="C28" s="26"/>
      <c r="D28" s="26"/>
      <c r="E28" s="104">
        <f>IF(M28&gt;0,M28,IF($E$4=$F$4,F28,IF($E$4=$G$4,G28,IF($E$4=$H$4,H28,IF($E$4=$I$4,I28,IF($E$4=$J$4,J28,IF($E$4=$K$4,K28,IF($E$4=$L$4,L28))))))))</f>
        <v>0</v>
      </c>
      <c r="F28" s="156"/>
      <c r="G28" s="156">
        <v>0</v>
      </c>
      <c r="H28" s="243"/>
      <c r="I28" s="156"/>
      <c r="J28" s="156"/>
      <c r="K28" s="156"/>
      <c r="N28" s="404"/>
      <c r="O28" s="28"/>
      <c r="Q28" s="147"/>
      <c r="R28" s="26"/>
      <c r="S28" s="133"/>
      <c r="T28" s="156"/>
      <c r="U28" s="156"/>
      <c r="V28" s="156"/>
      <c r="W28" s="156"/>
    </row>
    <row r="29" spans="1:23" x14ac:dyDescent="0.2">
      <c r="A29" s="28" t="s">
        <v>117</v>
      </c>
      <c r="B29" s="26"/>
      <c r="C29" s="26"/>
      <c r="D29" s="26"/>
      <c r="E29" s="104">
        <f>IF(M29&gt;0,M29,IF($E$4=$F$4,F29,IF($E$4=$G$4,G29,IF($E$4=$H$4,H29,IF($E$4=$I$4,I29,IF($E$4=$J$4,J29,IF($E$4=$K$4,K29,IF($E$4=$L$4,L29))))))))</f>
        <v>0</v>
      </c>
      <c r="F29" s="156"/>
      <c r="G29" s="156">
        <v>0</v>
      </c>
      <c r="H29" s="156"/>
      <c r="I29" s="156"/>
      <c r="J29" s="156"/>
      <c r="K29" s="156"/>
      <c r="N29" s="404"/>
      <c r="O29" s="28"/>
      <c r="Q29" s="26"/>
      <c r="R29" s="26"/>
      <c r="S29" s="133"/>
      <c r="T29" s="156"/>
      <c r="U29" s="156"/>
      <c r="V29" s="156"/>
      <c r="W29" s="156"/>
    </row>
    <row r="30" spans="1:23" x14ac:dyDescent="0.2">
      <c r="A30" s="147" t="s">
        <v>271</v>
      </c>
      <c r="B30" s="26"/>
      <c r="C30" s="26"/>
      <c r="D30" s="26"/>
      <c r="E30" s="104" t="str">
        <f>IF(M30&gt;0,M30,IF($E$4=$F$4,F30,IF($E$4=$G$4,G30,IF($E$4=$H$4,H30,IF($E$4=$I$4,I30,IF($E$4=$J$4,J30,IF($E$4=$K$4,K30,IF($E$4=$L$4,L30))))))))</f>
        <v>NMP</v>
      </c>
      <c r="F30" s="156"/>
      <c r="G30" s="156" t="s">
        <v>272</v>
      </c>
      <c r="H30" s="156"/>
      <c r="I30" s="156"/>
      <c r="J30" s="156"/>
      <c r="K30" s="156"/>
      <c r="N30" s="401"/>
      <c r="O30" s="10"/>
      <c r="Q30" s="26"/>
      <c r="R30" s="26"/>
      <c r="S30" s="133"/>
      <c r="T30" s="156"/>
      <c r="U30" s="156"/>
      <c r="V30" s="156"/>
      <c r="W30" s="156"/>
    </row>
    <row r="31" spans="1:23" x14ac:dyDescent="0.2">
      <c r="A31" s="147" t="s">
        <v>327</v>
      </c>
      <c r="B31" s="31"/>
      <c r="C31" s="31"/>
      <c r="D31" s="31"/>
      <c r="E31" s="104">
        <f>IF(M31&gt;0,M31,IF($E$4=$F$4,F31,IF($E$4=$G$4,G31,IF($E$4=$H$4,H31,IF($E$4=$I$4,I31,IF($E$4=$J$4,J31,IF($E$4=$K$4,K31,IF($E$4=$L$4,L31))))))))</f>
        <v>0</v>
      </c>
      <c r="F31" s="134"/>
      <c r="G31" s="134">
        <v>0</v>
      </c>
      <c r="H31" s="134"/>
      <c r="I31" s="134"/>
      <c r="J31" s="134"/>
      <c r="K31" s="134"/>
      <c r="N31" s="402"/>
      <c r="O31" s="147"/>
      <c r="Q31" s="31"/>
      <c r="R31" s="31"/>
      <c r="S31" s="133"/>
      <c r="T31" s="134"/>
      <c r="U31" s="134"/>
      <c r="V31" s="134"/>
      <c r="W31" s="134"/>
    </row>
    <row r="32" spans="1:23" ht="14.25" x14ac:dyDescent="0.2">
      <c r="A32" s="147" t="s">
        <v>189</v>
      </c>
      <c r="B32" s="31"/>
      <c r="C32" s="31"/>
      <c r="D32" s="31"/>
      <c r="E32" s="104"/>
      <c r="F32" s="106"/>
      <c r="G32" s="106"/>
      <c r="H32" s="244"/>
      <c r="I32" s="106"/>
      <c r="J32" s="106"/>
      <c r="K32" s="106"/>
      <c r="N32" s="402"/>
      <c r="O32" s="147"/>
      <c r="Q32" s="31"/>
      <c r="R32" s="31"/>
      <c r="S32" s="133"/>
      <c r="T32" s="106"/>
      <c r="U32" s="106"/>
      <c r="V32" s="134"/>
      <c r="W32" s="106"/>
    </row>
    <row r="33" spans="1:26" x14ac:dyDescent="0.2">
      <c r="A33" s="51" t="s">
        <v>112</v>
      </c>
      <c r="B33" s="31"/>
      <c r="C33" s="31"/>
      <c r="D33" s="31"/>
      <c r="E33" s="104">
        <f>IF(M33&gt;0,M33,IF($E$4=$F$4,F33,IF($E$4=$G$4,G33,IF($E$4=$H$4,H33,IF($E$4=$I$4,I33,IF($E$4=$J$4,J33,IF($E$4=$K$4,K33,IF($E$4=$L$4,L33))))))))</f>
        <v>0.53</v>
      </c>
      <c r="F33" s="120"/>
      <c r="G33" s="120">
        <v>0.53</v>
      </c>
      <c r="H33" s="120"/>
      <c r="I33" s="120"/>
      <c r="J33" s="120"/>
      <c r="K33" s="120"/>
      <c r="L33" s="89"/>
      <c r="M33" s="89"/>
      <c r="N33" s="406"/>
      <c r="O33" s="51"/>
      <c r="Q33" s="31"/>
      <c r="R33" s="31"/>
      <c r="S33" s="102"/>
      <c r="T33" s="120"/>
      <c r="U33" s="120"/>
      <c r="V33" s="120"/>
      <c r="W33" s="120"/>
    </row>
    <row r="34" spans="1:26" x14ac:dyDescent="0.2">
      <c r="A34" s="28" t="s">
        <v>116</v>
      </c>
      <c r="B34" s="31"/>
      <c r="C34" s="31"/>
      <c r="D34" s="31"/>
      <c r="E34" s="104">
        <f>IF(M34&gt;0,M34,IF($E$4=$F$4,F34,IF($E$4=$G$4,G34,IF($E$4=$H$4,H34,IF($E$4=$I$4,I34,IF($E$4=$J$4,J34,IF($E$4=$K$4,K34,IF($E$4=$L$4,L34))))))))</f>
        <v>1.95</v>
      </c>
      <c r="F34" s="120"/>
      <c r="G34" s="120">
        <v>1.95</v>
      </c>
      <c r="H34" s="245"/>
      <c r="I34" s="120"/>
      <c r="J34" s="120"/>
      <c r="K34" s="120"/>
      <c r="L34" s="89"/>
      <c r="M34" s="89"/>
      <c r="N34" s="404"/>
      <c r="O34" s="28"/>
      <c r="Q34" s="31"/>
      <c r="R34" s="31"/>
      <c r="S34" s="133"/>
      <c r="T34" s="120"/>
      <c r="U34" s="120"/>
      <c r="V34" s="120"/>
      <c r="W34" s="120"/>
    </row>
    <row r="35" spans="1:26" x14ac:dyDescent="0.2">
      <c r="A35" s="28" t="s">
        <v>117</v>
      </c>
      <c r="B35" s="31"/>
      <c r="C35" s="31"/>
      <c r="D35" s="31"/>
      <c r="E35" s="104">
        <f>IF(M35&gt;0,M35,IF($E$4=$F$4,F35,IF($E$4=$G$4,G35,IF($E$4=$H$4,H35,IF($E$4=$I$4,I35,IF($E$4=$J$4,J35,IF($E$4=$K$4,K35,IF($E$4=$L$4,L35))))))))</f>
        <v>1.1000000000000001</v>
      </c>
      <c r="F35" s="120"/>
      <c r="G35" s="120">
        <v>1.1000000000000001</v>
      </c>
      <c r="H35" s="245"/>
      <c r="I35" s="120"/>
      <c r="J35" s="120"/>
      <c r="K35" s="120"/>
      <c r="L35" s="89"/>
      <c r="M35" s="89"/>
      <c r="N35" s="404"/>
      <c r="O35" s="28"/>
      <c r="Q35" s="31"/>
      <c r="R35" s="31"/>
      <c r="S35" s="133"/>
      <c r="T35" s="120"/>
      <c r="U35" s="120"/>
      <c r="V35" s="120"/>
      <c r="W35" s="120"/>
    </row>
    <row r="36" spans="1:26" ht="15" x14ac:dyDescent="0.25">
      <c r="A36" s="326" t="s">
        <v>191</v>
      </c>
      <c r="B36" s="58"/>
      <c r="C36" s="58"/>
      <c r="D36" s="58"/>
      <c r="E36" s="104"/>
      <c r="F36" s="106"/>
      <c r="G36" s="106"/>
      <c r="H36" s="239"/>
      <c r="J36" s="106"/>
      <c r="K36" s="76"/>
      <c r="N36" s="403"/>
      <c r="O36" s="146"/>
      <c r="Q36" s="58"/>
      <c r="R36" s="58"/>
      <c r="S36" s="133"/>
      <c r="T36" s="106"/>
      <c r="V36" s="76"/>
      <c r="W36" s="76"/>
    </row>
    <row r="37" spans="1:26" x14ac:dyDescent="0.2">
      <c r="A37" s="28" t="s">
        <v>192</v>
      </c>
      <c r="B37" s="26"/>
      <c r="C37" s="26"/>
      <c r="D37" s="26"/>
      <c r="E37" s="104" t="str">
        <f>IF(M37&gt;0,M37,IF($E$4=$F$4,F37,IF($E$4=$G$4,G37,IF($E$4=$H$4,H37,IF($E$4=$I$4,I37,IF($E$4=$J$4,J37,IF($E$4=$K$4,K37,IF($E$4=$L$4,L37))))))))</f>
        <v>Aluminum</v>
      </c>
      <c r="F37" s="134"/>
      <c r="G37" s="134" t="s">
        <v>196</v>
      </c>
      <c r="H37" s="240"/>
      <c r="I37" s="134"/>
      <c r="J37" s="134"/>
      <c r="K37" s="134"/>
      <c r="N37" s="404"/>
      <c r="O37" s="28"/>
      <c r="Q37" s="26"/>
      <c r="R37" s="26"/>
      <c r="S37" s="133"/>
      <c r="T37" s="134"/>
      <c r="U37" s="134"/>
      <c r="V37" s="134"/>
      <c r="W37" s="134"/>
    </row>
    <row r="38" spans="1:26" x14ac:dyDescent="0.2">
      <c r="A38" s="28" t="s">
        <v>194</v>
      </c>
      <c r="B38" s="26"/>
      <c r="C38" s="26"/>
      <c r="D38" s="26"/>
      <c r="E38" s="104">
        <f>IF(M38&gt;0,M38,IF($E$4=$F$4,F38,IF($E$4=$G$4,G38,IF($E$4=$H$4,H38,IF($E$4=$I$4,I38,IF($E$4=$J$4,J38,IF($E$4=$K$4,K38,IF($E$4=$L$4,L38))))))))</f>
        <v>20</v>
      </c>
      <c r="F38" s="134"/>
      <c r="G38" s="134">
        <v>20</v>
      </c>
      <c r="H38" s="134"/>
      <c r="I38" s="134"/>
      <c r="J38" s="134"/>
      <c r="K38" s="134"/>
      <c r="M38" s="134"/>
      <c r="N38" s="404"/>
      <c r="O38" s="28"/>
      <c r="Q38" s="26"/>
      <c r="R38" s="26"/>
      <c r="S38" s="133"/>
      <c r="T38" s="134"/>
      <c r="U38" s="134"/>
      <c r="V38" s="134"/>
      <c r="W38" s="134"/>
    </row>
    <row r="39" spans="1:26" ht="15" x14ac:dyDescent="0.25">
      <c r="A39" s="326" t="s">
        <v>193</v>
      </c>
      <c r="B39" s="26"/>
      <c r="C39" s="26"/>
      <c r="D39" s="26"/>
      <c r="E39" s="104"/>
      <c r="F39" s="106"/>
      <c r="G39" s="106"/>
      <c r="H39" s="240"/>
      <c r="J39" s="106"/>
      <c r="N39" s="403"/>
      <c r="O39" s="146"/>
      <c r="Q39" s="26"/>
      <c r="R39" s="26"/>
      <c r="S39" s="133"/>
      <c r="T39" s="106"/>
      <c r="V39" s="134"/>
    </row>
    <row r="40" spans="1:26" x14ac:dyDescent="0.2">
      <c r="A40" s="28" t="s">
        <v>192</v>
      </c>
      <c r="B40" s="26"/>
      <c r="C40" s="26"/>
      <c r="D40" s="26"/>
      <c r="E40" s="104" t="str">
        <f>IF(M40&gt;0,M40,IF($E$4=$F$4,F40,IF($E$4=$G$4,G40,IF($E$4=$H$4,H40,IF($E$4=$I$4,I40,IF($E$4=$J$4,J40,IF($E$4=$K$4,K40,IF($E$4=$L$4,L40))))))))</f>
        <v>Copper</v>
      </c>
      <c r="F40" s="133"/>
      <c r="G40" s="133" t="s">
        <v>204</v>
      </c>
      <c r="H40" s="240"/>
      <c r="I40" s="133"/>
      <c r="J40" s="133"/>
      <c r="K40" s="133"/>
      <c r="N40" s="404"/>
      <c r="O40" s="28"/>
      <c r="Q40" s="26"/>
      <c r="R40" s="26"/>
      <c r="S40" s="133"/>
      <c r="T40" s="133"/>
      <c r="U40" s="133"/>
      <c r="V40" s="134"/>
      <c r="W40" s="133"/>
    </row>
    <row r="41" spans="1:26" x14ac:dyDescent="0.2">
      <c r="A41" s="28" t="s">
        <v>194</v>
      </c>
      <c r="B41" s="26"/>
      <c r="C41" s="26"/>
      <c r="D41" s="26"/>
      <c r="E41" s="104">
        <f>IF(M41&gt;0,M41,IF($E$4=$F$4,F41,IF($E$4=$G$4,G41,IF($E$4=$H$4,H41,IF($E$4=$I$4,I41,IF($E$4=$J$4,J41,IF($E$4=$K$4,K41,IF($E$4=$L$4,L41))))))))</f>
        <v>8</v>
      </c>
      <c r="F41" s="133"/>
      <c r="G41" s="133">
        <v>8</v>
      </c>
      <c r="H41" s="133"/>
      <c r="I41" s="133"/>
      <c r="J41" s="133"/>
      <c r="K41" s="133"/>
      <c r="M41" s="134"/>
      <c r="N41" s="404"/>
      <c r="O41" s="28"/>
      <c r="Q41" s="26"/>
      <c r="R41" s="26"/>
      <c r="S41" s="133"/>
      <c r="T41" s="133"/>
      <c r="U41" s="133"/>
      <c r="V41" s="134"/>
      <c r="W41" s="133"/>
    </row>
    <row r="42" spans="1:26" ht="15" x14ac:dyDescent="0.25">
      <c r="A42" s="327" t="s">
        <v>195</v>
      </c>
      <c r="B42" s="26"/>
      <c r="C42" s="26"/>
      <c r="D42" s="26"/>
      <c r="E42" s="104"/>
      <c r="F42" s="133"/>
      <c r="G42" s="133"/>
      <c r="H42" s="240"/>
      <c r="J42" s="133"/>
      <c r="K42" s="134"/>
      <c r="N42" s="403"/>
      <c r="O42" s="149"/>
      <c r="Q42" s="26"/>
      <c r="R42" s="26"/>
      <c r="S42" s="133"/>
      <c r="T42" s="133"/>
      <c r="V42" s="134"/>
      <c r="W42" s="134"/>
      <c r="X42" s="180"/>
    </row>
    <row r="43" spans="1:26" x14ac:dyDescent="0.2">
      <c r="A43" s="28" t="s">
        <v>194</v>
      </c>
      <c r="B43" s="26"/>
      <c r="C43" s="26"/>
      <c r="D43" s="26"/>
      <c r="E43" s="104">
        <f>IF(M43&gt;0,M43,IF($E$4=$F$4,F43,IF($E$4=$G$4,G43,IF($E$4=$H$4,H43,IF($E$4=$I$4,I43,IF($E$4=$J$4,J43,IF($E$4=$K$4,K43,IF($E$4=$L$4,L43))))))))</f>
        <v>20</v>
      </c>
      <c r="F43" s="133"/>
      <c r="G43" s="133">
        <v>20</v>
      </c>
      <c r="H43" s="240"/>
      <c r="I43" s="133"/>
      <c r="J43" s="133"/>
      <c r="K43" s="133"/>
      <c r="N43" s="404"/>
      <c r="O43" s="28"/>
      <c r="Q43" s="26"/>
      <c r="R43" s="26"/>
      <c r="S43" s="133"/>
      <c r="T43" s="133"/>
      <c r="U43" s="133"/>
      <c r="V43" s="156"/>
      <c r="W43" s="133"/>
      <c r="X43" s="180"/>
    </row>
    <row r="44" spans="1:26" x14ac:dyDescent="0.2">
      <c r="A44" s="28" t="s">
        <v>327</v>
      </c>
      <c r="B44" s="26"/>
      <c r="C44" s="26"/>
      <c r="D44" s="26"/>
      <c r="E44" s="104">
        <f>IF(M44&gt;0,M44,IF($E$4=$F$4,F44,IF($E$4=$G$4,G44,IF($E$4=$H$4,H44,IF($E$4=$I$4,I44,IF($E$4=$J$4,J44,IF($E$4=$K$4,K44,IF($E$4=$L$4,L44))))))))</f>
        <v>0</v>
      </c>
      <c r="F44" s="133"/>
      <c r="G44" s="133">
        <v>0</v>
      </c>
      <c r="H44" s="240"/>
      <c r="I44" s="133"/>
      <c r="J44" s="133"/>
      <c r="K44" s="133"/>
      <c r="N44" s="404"/>
      <c r="O44" s="148"/>
      <c r="Q44" s="26"/>
      <c r="R44" s="26"/>
      <c r="S44" s="102"/>
      <c r="T44" s="102"/>
      <c r="U44" s="102"/>
      <c r="V44" s="102"/>
      <c r="W44" s="102"/>
      <c r="X44" s="3"/>
    </row>
    <row r="45" spans="1:26" ht="14.25" x14ac:dyDescent="0.2">
      <c r="A45" s="148" t="s">
        <v>259</v>
      </c>
      <c r="B45" s="26"/>
      <c r="C45" s="26"/>
      <c r="D45" s="26"/>
      <c r="E45" s="104">
        <f>IF(M45&gt;0,M45,IF($E$4=$F$4,F45,IF($E$4=$G$4,G45,IF($E$4=$H$4,H45,IF($E$4=$I$4,I45,IF($E$4=$J$4,J45,IF($E$4=$K$4,K45,IF($E$4=$L$4,L45))))))))</f>
        <v>4</v>
      </c>
      <c r="F45" s="102"/>
      <c r="G45" s="102">
        <v>4</v>
      </c>
      <c r="H45" s="102"/>
      <c r="I45" s="102"/>
      <c r="J45" s="102"/>
      <c r="K45" s="102"/>
      <c r="N45" s="398"/>
      <c r="O45" s="58"/>
      <c r="Q45" s="26"/>
      <c r="R45" s="26"/>
      <c r="S45" s="133"/>
      <c r="T45" s="133"/>
      <c r="V45" s="154"/>
      <c r="X45" s="3"/>
    </row>
    <row r="46" spans="1:26" ht="17.25" x14ac:dyDescent="0.25">
      <c r="A46" s="325" t="s">
        <v>561</v>
      </c>
      <c r="B46" s="26"/>
      <c r="C46" s="26"/>
      <c r="D46" s="26"/>
      <c r="E46" s="104">
        <f>IF(M46&gt;0,M46,IF($E$4=$F$4,F46,IF($E$4=$G$4,G46,IF($E$4=$H$4,H46,IF($E$4=$I$4,I46,IF($E$4=$J$4,J46,IF($E$4=$K$4,K46,IF($E$4=$L$4,L46))))))))</f>
        <v>1.2</v>
      </c>
      <c r="F46" s="102"/>
      <c r="G46" s="102">
        <v>1.2</v>
      </c>
      <c r="H46" s="246"/>
      <c r="I46" s="102"/>
      <c r="J46" s="102"/>
      <c r="K46" s="102"/>
      <c r="N46" s="404"/>
      <c r="O46" s="148"/>
      <c r="Q46" s="26"/>
      <c r="R46" s="26"/>
      <c r="S46" s="102"/>
      <c r="T46" s="102"/>
      <c r="U46" s="102"/>
      <c r="V46" s="120"/>
      <c r="W46" s="102"/>
      <c r="X46" s="8"/>
      <c r="Y46" s="5"/>
      <c r="Z46" s="35"/>
    </row>
    <row r="47" spans="1:26" ht="15" x14ac:dyDescent="0.25">
      <c r="A47" s="326" t="s">
        <v>14</v>
      </c>
      <c r="B47" s="17"/>
      <c r="C47" s="17"/>
      <c r="D47" s="17"/>
      <c r="E47" s="104"/>
      <c r="F47" s="133"/>
      <c r="G47" s="133"/>
      <c r="H47" s="247"/>
      <c r="J47" s="133"/>
      <c r="N47" s="392"/>
      <c r="O47"/>
      <c r="S47" s="133"/>
      <c r="T47" s="133"/>
      <c r="U47" s="3"/>
      <c r="V47" s="133"/>
      <c r="W47" s="3"/>
      <c r="X47" s="20"/>
    </row>
    <row r="48" spans="1:26" x14ac:dyDescent="0.2">
      <c r="A48" s="252" t="s">
        <v>559</v>
      </c>
      <c r="B48" s="17"/>
      <c r="C48" s="17"/>
      <c r="D48" s="17"/>
      <c r="E48" s="104">
        <f>IF(M48&gt;0,M48,IF($E$4=$F$4,F48,IF($E$4=$G$4,G48,IF($E$4=$H$4,H48,IF($E$4=$I$4,I48,IF($E$4=$J$4,J48,IF($E$4=$K$4,K48,IF($E$4=$L$4,O48))))))))</f>
        <v>2.96</v>
      </c>
      <c r="F48" s="172"/>
      <c r="G48" s="299">
        <v>2.96</v>
      </c>
      <c r="H48" s="248"/>
      <c r="I48" s="248"/>
      <c r="J48" s="299"/>
      <c r="K48" s="66"/>
      <c r="M48" s="263"/>
      <c r="N48" s="392"/>
      <c r="O48" s="263"/>
      <c r="S48" s="133"/>
      <c r="T48" s="133"/>
      <c r="U48" s="3"/>
      <c r="V48" s="133"/>
      <c r="W48" s="3"/>
      <c r="X48" s="20"/>
    </row>
    <row r="49" spans="1:24" x14ac:dyDescent="0.2">
      <c r="A49" s="22" t="s">
        <v>254</v>
      </c>
      <c r="B49" s="17"/>
      <c r="C49" s="17"/>
      <c r="D49" s="17"/>
      <c r="E49" s="104">
        <f>IF(M49&gt;0,M49,IF($E$4=$F$4,F49,IF($E$4=$G$4,G49,IF($E$4=$H$4,H49,IF($E$4=$I$4,I49,IF($E$4=$J$4,J49,IF($E$4=$K$4,K49,IF($E$4=$L$4,O49))))))))</f>
        <v>2.96</v>
      </c>
      <c r="F49" s="172"/>
      <c r="G49" s="299">
        <v>2.96</v>
      </c>
      <c r="H49" s="248"/>
      <c r="I49" s="248"/>
      <c r="J49" s="172"/>
      <c r="K49" s="66"/>
      <c r="M49" s="263"/>
      <c r="N49" s="392"/>
      <c r="O49" s="263"/>
      <c r="S49" s="135"/>
      <c r="T49" s="135"/>
      <c r="U49" s="135"/>
      <c r="V49" s="135"/>
      <c r="W49" s="135"/>
      <c r="X49" s="20"/>
    </row>
    <row r="50" spans="1:24" x14ac:dyDescent="0.2">
      <c r="A50" s="28" t="s">
        <v>787</v>
      </c>
      <c r="B50" s="17"/>
      <c r="C50" s="17"/>
      <c r="D50" s="17"/>
      <c r="E50" s="422">
        <f t="shared" ref="E50:E51" si="2">IF(M50&gt;0,M50,IF($E$4=$F$4,F50,IF($E$4=$G$4,G50,IF($E$4=$H$4,H50,IF($E$4=$I$4,I50,IF($E$4=$J$4,J50,IF($E$4=$K$4,K50,IF($E$4=$L$4,O50))))))))</f>
        <v>1</v>
      </c>
      <c r="F50" s="102"/>
      <c r="G50" s="102">
        <v>1</v>
      </c>
      <c r="H50" s="102"/>
      <c r="I50" s="102"/>
      <c r="J50" s="102"/>
      <c r="K50" s="20"/>
      <c r="M50" s="263"/>
      <c r="N50" s="392"/>
      <c r="O50" s="263"/>
      <c r="S50" s="135"/>
      <c r="T50" s="135"/>
      <c r="U50" s="135"/>
      <c r="V50" s="135"/>
      <c r="W50" s="135"/>
      <c r="X50" s="20"/>
    </row>
    <row r="51" spans="1:24" x14ac:dyDescent="0.2">
      <c r="A51" s="28" t="s">
        <v>786</v>
      </c>
      <c r="B51" s="17"/>
      <c r="C51" s="17"/>
      <c r="D51" s="17"/>
      <c r="E51" s="104">
        <f t="shared" si="2"/>
        <v>0.01</v>
      </c>
      <c r="F51" s="102"/>
      <c r="G51" s="102">
        <v>0.01</v>
      </c>
      <c r="H51" s="102"/>
      <c r="I51" s="102"/>
      <c r="J51" s="102"/>
      <c r="K51" s="20"/>
      <c r="M51" s="263"/>
      <c r="N51" s="392"/>
      <c r="O51" s="263"/>
      <c r="S51" s="135"/>
      <c r="T51" s="135"/>
      <c r="U51" s="135"/>
      <c r="V51" s="135"/>
      <c r="W51" s="135"/>
      <c r="X51" s="20"/>
    </row>
    <row r="52" spans="1:24" x14ac:dyDescent="0.2">
      <c r="A52" s="23" t="s">
        <v>255</v>
      </c>
      <c r="E52" s="104">
        <f>IF(M52&gt;0,M52,IF($E$4=$F$4,F52,IF($E$4=$G$4,G52,IF($E$4=$H$4,H52,IF($E$4=$I$4,I52,IF($E$4=$J$4,J52,IF($E$4=$K$4,K52,IF($E$4=$L$4,O52))))))))</f>
        <v>100</v>
      </c>
      <c r="F52" s="3"/>
      <c r="G52" s="256">
        <v>100</v>
      </c>
      <c r="H52" s="256"/>
      <c r="I52" s="256"/>
      <c r="J52" s="256"/>
      <c r="K52" s="256"/>
      <c r="M52" s="3"/>
      <c r="N52" s="392"/>
      <c r="O52"/>
      <c r="Q52" s="3"/>
      <c r="R52" s="3"/>
      <c r="S52" s="135"/>
      <c r="T52" s="133"/>
      <c r="U52" s="133"/>
      <c r="V52" s="133"/>
      <c r="W52" s="133"/>
    </row>
    <row r="53" spans="1:24" ht="14.25" x14ac:dyDescent="0.2">
      <c r="A53" s="23" t="s">
        <v>251</v>
      </c>
      <c r="E53" s="104">
        <f>IF(M53&gt;0,M53,IF($E$4=$F$4,F53,IF($E$4=$G$4,G53,IF($E$4=$H$4,H53,IF($E$4=$I$4,I53,IF($E$4=$J$4,J53,IF($E$4=$K$4,K53,IF($E$4=$L$4,O53))))))))</f>
        <v>10000000</v>
      </c>
      <c r="F53" s="137"/>
      <c r="G53" s="137">
        <v>10000000</v>
      </c>
      <c r="H53" s="137"/>
      <c r="I53" s="137"/>
      <c r="J53" s="137"/>
      <c r="K53" s="137"/>
      <c r="N53" s="392"/>
      <c r="O53" s="20"/>
      <c r="Q53" s="3"/>
      <c r="R53" s="3"/>
      <c r="S53" s="133"/>
      <c r="T53" s="133"/>
      <c r="U53" s="3"/>
      <c r="V53" s="133"/>
      <c r="W53" s="3"/>
    </row>
    <row r="54" spans="1:24" ht="14.25" x14ac:dyDescent="0.2">
      <c r="A54" s="23" t="s">
        <v>252</v>
      </c>
      <c r="E54" s="104">
        <f>IF(M54&gt;0,M54,IF($E$4=$F$4,F54,IF($E$4=$G$4,G54,IF($E$4=$H$4,H54,IF($E$4=$I$4,I54,IF($E$4=$J$4,J54,IF($E$4=$K$4,K54,IF($E$4=$L$4,O54))))))))</f>
        <v>50000</v>
      </c>
      <c r="F54" s="4"/>
      <c r="G54" s="4">
        <v>50000</v>
      </c>
      <c r="H54" s="4"/>
      <c r="I54" s="4"/>
      <c r="J54" s="137"/>
      <c r="K54" s="137"/>
      <c r="M54" s="308"/>
      <c r="N54" s="392"/>
      <c r="O54"/>
      <c r="Q54" s="3"/>
      <c r="R54" s="133"/>
      <c r="S54" s="3"/>
      <c r="T54" s="3"/>
      <c r="U54" s="3"/>
    </row>
    <row r="55" spans="1:24" ht="14.25" x14ac:dyDescent="0.2">
      <c r="A55" t="s">
        <v>120</v>
      </c>
      <c r="E55" s="104"/>
      <c r="H55" s="247"/>
      <c r="M55" s="237"/>
      <c r="N55" s="392"/>
      <c r="O55"/>
      <c r="Q55" s="3"/>
      <c r="R55" s="133"/>
      <c r="S55" s="3"/>
      <c r="T55" s="3"/>
      <c r="U55" s="3"/>
    </row>
    <row r="56" spans="1:24" x14ac:dyDescent="0.2">
      <c r="A56" s="23" t="s">
        <v>311</v>
      </c>
      <c r="E56" s="104">
        <f>IF('Battery Design'!F$54="microHEV",E57,IF('Battery Design'!F$54="HEV-HP",E58,IF('Battery Design'!F$54="PHEV",E59,IF('Battery Design'!F$54="EV",E59,"ERROR"))))</f>
        <v>33</v>
      </c>
      <c r="H56" s="241"/>
      <c r="M56" s="298"/>
      <c r="N56" s="392"/>
      <c r="O56"/>
      <c r="Q56" s="3"/>
      <c r="R56" s="133"/>
      <c r="S56" s="3"/>
      <c r="T56" s="3"/>
      <c r="U56" s="3"/>
    </row>
    <row r="57" spans="1:24" x14ac:dyDescent="0.2">
      <c r="A57" t="s">
        <v>257</v>
      </c>
      <c r="E57" s="104">
        <f>IF(M57&gt;0,M57,IF($E$4=$F$4,F57,IF($E$4=$G$4,G57,IF($E$4=$H$4,H57,IF($E$4=$I$4,I57,IF($E$4=$J$4,J57,IF($E$4=$K$4,K57,IF($E$4=$L$4,O57))))))))</f>
        <v>21</v>
      </c>
      <c r="F57" s="133"/>
      <c r="G57" s="133">
        <v>21</v>
      </c>
      <c r="H57" s="133"/>
      <c r="I57" s="133"/>
      <c r="J57" s="133"/>
      <c r="K57" s="133"/>
      <c r="M57" s="310"/>
      <c r="N57" s="392"/>
      <c r="O57" s="309"/>
      <c r="Q57" s="3"/>
      <c r="R57" s="133"/>
      <c r="S57" s="3"/>
      <c r="T57" s="3"/>
      <c r="U57" s="3"/>
    </row>
    <row r="58" spans="1:24" x14ac:dyDescent="0.2">
      <c r="A58" t="s">
        <v>258</v>
      </c>
      <c r="E58" s="104">
        <f>IF(M58&gt;0,M58,IF($E$4=$F$4,F58,IF($E$4=$G$4,G58,IF($E$4=$H$4,H58,IF($E$4=$I$4,I58,IF($E$4=$J$4,J58,IF($E$4=$K$4,K58,IF($E$4=$L$4,O58))))))))</f>
        <v>26.6</v>
      </c>
      <c r="F58" s="133"/>
      <c r="G58" s="133">
        <v>26.6</v>
      </c>
      <c r="H58" s="133"/>
      <c r="I58" s="133"/>
      <c r="J58" s="133"/>
      <c r="K58" s="133"/>
      <c r="M58" s="298"/>
      <c r="N58" s="392"/>
      <c r="O58" s="309"/>
      <c r="Q58" s="135"/>
      <c r="R58" s="135"/>
      <c r="S58" s="135"/>
      <c r="T58" s="3"/>
      <c r="U58" s="3"/>
    </row>
    <row r="59" spans="1:24" x14ac:dyDescent="0.2">
      <c r="A59" s="252" t="s">
        <v>501</v>
      </c>
      <c r="D59" s="263"/>
      <c r="E59" s="104">
        <f>IF(M59&gt;0,M59,IF($E$4=$F$4,F59,IF($E$4=$G$4,G59,IF($E$4=$H$4,H59,IF($E$4=$I$4,I59,IF($E$4=$J$4,J59,IF($E$4=$K$4,K59,IF($E$4=$L$4,O59))))))))</f>
        <v>33</v>
      </c>
      <c r="F59" s="133"/>
      <c r="G59" s="133">
        <v>33</v>
      </c>
      <c r="H59" s="133"/>
      <c r="I59" s="133"/>
      <c r="J59" s="133"/>
      <c r="K59" s="133"/>
      <c r="M59" s="298"/>
      <c r="N59" s="392"/>
      <c r="O59" s="309"/>
      <c r="Q59" s="135"/>
      <c r="R59" s="135"/>
      <c r="S59" s="135"/>
      <c r="T59" s="3"/>
      <c r="U59" s="3"/>
    </row>
    <row r="60" spans="1:24" x14ac:dyDescent="0.2">
      <c r="A60" t="s">
        <v>504</v>
      </c>
      <c r="C60" s="263"/>
      <c r="D60" s="263"/>
      <c r="E60" s="104">
        <f>IF(M60&gt;0,M60,IF($E$4=$F$4,F60,IF($E$4=$G$4,G60,IF($E$4=$H$4,H60,IF($E$4=$I$4,I60,IF($E$4=$J$4,J60,IF($E$4=$K$4,K60,IF($E$4=$L$4,L60))))))))</f>
        <v>3</v>
      </c>
      <c r="F60" s="133"/>
      <c r="G60" s="133">
        <v>3</v>
      </c>
      <c r="H60" s="133"/>
      <c r="I60" s="133"/>
      <c r="J60" s="133"/>
      <c r="K60" s="133"/>
      <c r="M60" s="298"/>
      <c r="N60" s="407"/>
      <c r="O60"/>
      <c r="Q60" s="3"/>
      <c r="R60" s="133"/>
      <c r="S60" s="3"/>
      <c r="T60" s="20"/>
      <c r="U60" s="20"/>
    </row>
    <row r="61" spans="1:24" x14ac:dyDescent="0.2">
      <c r="A61" s="148" t="s">
        <v>443</v>
      </c>
      <c r="B61" s="256"/>
      <c r="C61" s="256"/>
      <c r="D61" s="256"/>
      <c r="E61" s="104">
        <f>1.5*E56</f>
        <v>49.5</v>
      </c>
      <c r="F61" s="133"/>
      <c r="G61" s="133"/>
      <c r="H61" s="241"/>
      <c r="I61" s="256"/>
      <c r="J61" s="133"/>
      <c r="K61" s="256"/>
      <c r="M61" s="298"/>
      <c r="N61" s="407"/>
      <c r="O61"/>
      <c r="Q61" s="256"/>
      <c r="R61" s="133"/>
      <c r="S61" s="256"/>
      <c r="T61" s="20"/>
      <c r="U61" s="20"/>
    </row>
    <row r="62" spans="1:24" ht="14.25" x14ac:dyDescent="0.2">
      <c r="A62" s="23" t="s">
        <v>1</v>
      </c>
      <c r="E62" s="104">
        <f>IF(M62&gt;0,M62,IF($E$4=$F$4,F62,IF($E$4=$G$4,G62,IF($E$4=$H$4,H62,IF($E$4=$I$4,I62,IF($E$4=$J$4,J62,IF($E$4=$K$4,K62,IF($E$4=$L$4,L62))))))))</f>
        <v>58.52000000000001</v>
      </c>
      <c r="F62" s="135"/>
      <c r="G62" s="135">
        <f t="shared" ref="G62" si="3">2.2*G58</f>
        <v>58.52000000000001</v>
      </c>
      <c r="H62" s="135"/>
      <c r="I62" s="135"/>
      <c r="J62" s="135"/>
      <c r="K62" s="135"/>
      <c r="M62" s="298"/>
      <c r="N62" s="407"/>
      <c r="O62"/>
    </row>
    <row r="63" spans="1:24" x14ac:dyDescent="0.2">
      <c r="A63" s="23" t="s">
        <v>199</v>
      </c>
      <c r="B63" s="3"/>
      <c r="C63" s="3"/>
      <c r="D63" s="3"/>
      <c r="E63" s="104">
        <f>IF(M63&gt;0,M63,IF($E$4=$F$4,F63,IF($E$4=$G$4,G63,IF($E$4=$H$4,H63,IF($E$4=$I$4,I63,IF($E$4=$J$4,J63,IF($E$4=$K$4,K63,IF($E$4=$L$4,L63))))))))</f>
        <v>200</v>
      </c>
      <c r="F63" s="133"/>
      <c r="G63" s="133">
        <v>200</v>
      </c>
      <c r="H63" s="133"/>
      <c r="I63" s="133"/>
      <c r="J63" s="133"/>
      <c r="K63" s="133"/>
      <c r="M63" s="298"/>
      <c r="N63" s="407"/>
      <c r="O63"/>
    </row>
    <row r="64" spans="1:24" ht="15" x14ac:dyDescent="0.25">
      <c r="A64" s="258" t="s">
        <v>186</v>
      </c>
      <c r="B64" s="3"/>
      <c r="C64" s="3"/>
      <c r="D64" s="3"/>
      <c r="E64" s="104"/>
      <c r="F64" s="234"/>
      <c r="G64" s="234"/>
      <c r="H64" s="238"/>
      <c r="I64" s="234"/>
      <c r="J64" s="234"/>
      <c r="K64" s="234"/>
      <c r="L64" s="191"/>
      <c r="M64" s="298"/>
      <c r="N64" s="407"/>
      <c r="O64"/>
    </row>
    <row r="65" spans="1:20" x14ac:dyDescent="0.2">
      <c r="A65" s="7" t="s">
        <v>330</v>
      </c>
      <c r="B65" s="3"/>
      <c r="C65" s="9"/>
      <c r="D65" s="9"/>
      <c r="E65" s="104">
        <f>IF('Battery Design'!F$54="microHEV",E66,IF('Battery Design'!F$54="HEV-HP",E66,IF('Battery Design'!F$54="PHEV",E67,IF('Battery Design'!F$54="EV",E68,"ERROR"))))</f>
        <v>85</v>
      </c>
      <c r="F65" s="152"/>
      <c r="G65" s="152"/>
      <c r="H65" s="241"/>
      <c r="I65" s="9"/>
      <c r="J65" s="152"/>
      <c r="K65" s="9"/>
      <c r="M65" s="298"/>
      <c r="N65" s="407"/>
      <c r="O65"/>
    </row>
    <row r="66" spans="1:20" x14ac:dyDescent="0.2">
      <c r="A66" s="7" t="s">
        <v>355</v>
      </c>
      <c r="B66" s="9"/>
      <c r="C66" s="9"/>
      <c r="D66" s="9"/>
      <c r="E66" s="104">
        <f>IF(M66&gt;0,M66,IF($E$4=$F$4,F66,IF($E$4=$G$4,G66,IF($E$4=$H$4,H66,IF($E$4=$I$4,I66,IF($E$4=$J$4,J66,IF($E$4=$K$4,K66,IF($E$4=$L$4,L66))))))))</f>
        <v>25</v>
      </c>
      <c r="F66" s="152"/>
      <c r="G66" s="152">
        <v>25</v>
      </c>
      <c r="H66" s="152"/>
      <c r="I66" s="152"/>
      <c r="J66" s="152"/>
      <c r="K66" s="152"/>
      <c r="M66" s="298"/>
      <c r="N66" s="407"/>
      <c r="O66"/>
    </row>
    <row r="67" spans="1:20" x14ac:dyDescent="0.2">
      <c r="A67" s="7" t="s">
        <v>328</v>
      </c>
      <c r="B67" s="9"/>
      <c r="C67" s="9"/>
      <c r="D67" s="9"/>
      <c r="E67" s="104">
        <f>IF(M67&gt;0,M67,IF($E$4=$F$4,F67,IF($E$4=$G$4,G67,IF($E$4=$H$4,H67,IF($E$4=$I$4,I67,IF($E$4=$J$4,J67,IF($E$4=$K$4,K67,IF($E$4=$L$4,L67))))))))</f>
        <v>70</v>
      </c>
      <c r="F67" s="133"/>
      <c r="G67" s="133">
        <v>70</v>
      </c>
      <c r="H67" s="133"/>
      <c r="I67" s="133"/>
      <c r="J67" s="133"/>
      <c r="K67" s="3"/>
      <c r="M67" s="298"/>
      <c r="N67" s="407"/>
      <c r="O67"/>
    </row>
    <row r="68" spans="1:20" x14ac:dyDescent="0.2">
      <c r="A68" s="7" t="s">
        <v>329</v>
      </c>
      <c r="B68" s="9"/>
      <c r="C68" s="9"/>
      <c r="D68" s="9"/>
      <c r="E68" s="104">
        <f>IF(M68&gt;0,M68,IF($E$4=$F$4,F68,IF($E$4=$G$4,G68,IF($E$4=$H$4,H68,IF($E$4=$I$4,I68,IF($E$4=$J$4,J68,IF($E$4=$K$4,K68,IF($E$4=$L$4,L68))))))))</f>
        <v>85</v>
      </c>
      <c r="F68" s="152"/>
      <c r="G68" s="152">
        <v>85</v>
      </c>
      <c r="H68" s="152"/>
      <c r="I68" s="152"/>
      <c r="J68" s="152"/>
      <c r="K68" s="152"/>
      <c r="M68" s="298"/>
      <c r="N68" s="407"/>
      <c r="O68"/>
    </row>
    <row r="69" spans="1:20" ht="16.5" thickBot="1" x14ac:dyDescent="0.3">
      <c r="A69" s="18" t="s">
        <v>203</v>
      </c>
      <c r="F69" s="328"/>
      <c r="G69" s="328" t="str">
        <f t="shared" ref="G69" si="4">G4</f>
        <v>Li2O2-Li</v>
      </c>
      <c r="H69" s="328"/>
      <c r="I69" s="328"/>
      <c r="J69" s="328"/>
      <c r="K69" s="328"/>
      <c r="L69" s="328"/>
      <c r="M69" s="395" t="s">
        <v>207</v>
      </c>
      <c r="N69" s="408"/>
      <c r="O69"/>
      <c r="P69" s="59"/>
      <c r="Q69" s="252" t="s">
        <v>821</v>
      </c>
    </row>
    <row r="70" spans="1:20" ht="15" x14ac:dyDescent="0.25">
      <c r="A70" s="7" t="s">
        <v>26</v>
      </c>
      <c r="B70" s="7"/>
      <c r="C70" s="7"/>
      <c r="D70" s="8"/>
      <c r="E70" s="352" t="s">
        <v>27</v>
      </c>
      <c r="H70" s="241"/>
      <c r="M70" s="353" t="s">
        <v>516</v>
      </c>
      <c r="N70" s="409" t="s">
        <v>27</v>
      </c>
      <c r="O70"/>
      <c r="P70" s="63"/>
      <c r="Q70" s="237" t="s">
        <v>712</v>
      </c>
      <c r="R70" s="237" t="s">
        <v>713</v>
      </c>
      <c r="S70" s="237" t="s">
        <v>822</v>
      </c>
      <c r="T70" s="237" t="s">
        <v>715</v>
      </c>
    </row>
    <row r="71" spans="1:20" x14ac:dyDescent="0.2">
      <c r="A71" s="12" t="s">
        <v>205</v>
      </c>
      <c r="B71" s="7"/>
      <c r="C71" s="7"/>
      <c r="D71" s="122">
        <f>IF(M71&gt;0,M71,IF($E$4=$F$4,F71,IF($E$4=$G$4,G71,IF($E$4=$H$4,H71,IF($E$4=$I$4,I71,IF($E$4=$J$4,J71,IF($E$4=$K$4,K71,IF($E$4=$L$4,L71))))))))</f>
        <v>0</v>
      </c>
      <c r="E71" s="123">
        <f>IF(N71=0,0.95,N71)</f>
        <v>0.95</v>
      </c>
      <c r="F71" s="396"/>
      <c r="G71" s="396">
        <v>0</v>
      </c>
      <c r="H71" s="416"/>
      <c r="I71" s="396"/>
      <c r="J71" s="396"/>
      <c r="K71" s="396"/>
      <c r="L71" s="158"/>
      <c r="M71" s="158"/>
      <c r="N71" s="393"/>
      <c r="O71" s="3"/>
      <c r="P71" s="3"/>
      <c r="Q71" s="256">
        <v>50</v>
      </c>
      <c r="R71" s="256">
        <v>2</v>
      </c>
      <c r="S71" s="256">
        <v>0.15</v>
      </c>
      <c r="T71" s="20">
        <f>Q71*R71/1000*S71*10000*0.015</f>
        <v>2.25</v>
      </c>
    </row>
    <row r="72" spans="1:20" x14ac:dyDescent="0.2">
      <c r="A72" s="12" t="s">
        <v>263</v>
      </c>
      <c r="B72" s="7"/>
      <c r="C72" s="7"/>
      <c r="D72" s="122">
        <f t="shared" ref="D72:D83" si="5">IF(M72&gt;0,M72,IF($E$4=$F$4,F72,IF($E$4=$G$4,G72,IF($E$4=$H$4,H72,IF($E$4=$I$4,I72,IF($E$4=$J$4,J72,IF($E$4=$K$4,K72,IF($E$4=$L$4,L72))))))))</f>
        <v>50</v>
      </c>
      <c r="E72" s="123">
        <f>IF(N72=0,1,N72)</f>
        <v>1</v>
      </c>
      <c r="F72" s="396"/>
      <c r="G72" s="396">
        <v>50</v>
      </c>
      <c r="H72" s="396"/>
      <c r="I72" s="396"/>
      <c r="J72" s="102"/>
      <c r="K72" s="102"/>
      <c r="L72" s="158"/>
      <c r="M72" s="158"/>
      <c r="N72" s="410"/>
      <c r="O72" s="3"/>
      <c r="P72" s="3"/>
    </row>
    <row r="73" spans="1:20" x14ac:dyDescent="0.2">
      <c r="A73" s="7" t="s">
        <v>36</v>
      </c>
      <c r="B73" s="7"/>
      <c r="C73" s="7"/>
      <c r="D73" s="122">
        <f t="shared" si="5"/>
        <v>10</v>
      </c>
      <c r="E73" s="123">
        <f t="shared" ref="E73:E83" si="6">IF(N73=0,1,N73)</f>
        <v>1</v>
      </c>
      <c r="F73" s="413"/>
      <c r="G73" s="413">
        <v>10</v>
      </c>
      <c r="H73" s="249"/>
      <c r="I73" s="413"/>
      <c r="J73" s="413"/>
      <c r="K73" s="413"/>
      <c r="L73" s="159"/>
      <c r="N73" s="410"/>
      <c r="O73" s="3"/>
      <c r="P73" s="3"/>
    </row>
    <row r="74" spans="1:20" x14ac:dyDescent="0.2">
      <c r="A74" s="7" t="s">
        <v>38</v>
      </c>
      <c r="B74" s="7"/>
      <c r="C74" s="7"/>
      <c r="D74" s="122">
        <f t="shared" si="5"/>
        <v>3.2</v>
      </c>
      <c r="E74" s="123">
        <f t="shared" si="6"/>
        <v>1</v>
      </c>
      <c r="F74" s="413"/>
      <c r="G74" s="413">
        <v>3.2</v>
      </c>
      <c r="H74" s="249"/>
      <c r="I74" s="413"/>
      <c r="J74" s="413"/>
      <c r="K74" s="413"/>
      <c r="L74" s="159"/>
      <c r="N74" s="410"/>
      <c r="O74" s="3"/>
      <c r="P74" s="3"/>
    </row>
    <row r="75" spans="1:20" x14ac:dyDescent="0.2">
      <c r="A75" s="7" t="s">
        <v>39</v>
      </c>
      <c r="B75" s="7"/>
      <c r="C75" s="7"/>
      <c r="D75" s="158"/>
      <c r="E75" s="102"/>
      <c r="F75" s="158"/>
      <c r="G75" s="158"/>
      <c r="H75" s="324"/>
      <c r="I75" s="102"/>
      <c r="J75" s="158"/>
      <c r="K75" s="158"/>
      <c r="L75" s="158"/>
      <c r="N75" s="410"/>
      <c r="O75" s="3"/>
      <c r="P75" s="3"/>
    </row>
    <row r="76" spans="1:20" x14ac:dyDescent="0.2">
      <c r="A76" s="7" t="s">
        <v>30</v>
      </c>
      <c r="B76" s="7"/>
      <c r="C76" s="7"/>
      <c r="D76" s="122">
        <f t="shared" si="5"/>
        <v>100</v>
      </c>
      <c r="E76" s="123">
        <f>IF(N76=0,0.95,N76)</f>
        <v>0.95</v>
      </c>
      <c r="F76" s="396"/>
      <c r="G76" s="396">
        <v>100</v>
      </c>
      <c r="H76" s="396"/>
      <c r="I76" s="396"/>
      <c r="J76" s="396"/>
      <c r="K76" s="396"/>
      <c r="L76" s="158"/>
      <c r="N76" s="410"/>
      <c r="O76" s="3"/>
      <c r="P76" s="3"/>
    </row>
    <row r="77" spans="1:20" x14ac:dyDescent="0.2">
      <c r="A77" s="7" t="s">
        <v>34</v>
      </c>
      <c r="B77" s="7"/>
      <c r="C77" s="7"/>
      <c r="D77" s="122">
        <f t="shared" si="5"/>
        <v>6.8</v>
      </c>
      <c r="E77" s="123">
        <f t="shared" si="6"/>
        <v>1</v>
      </c>
      <c r="F77" s="102"/>
      <c r="G77" s="102">
        <v>6.8</v>
      </c>
      <c r="H77" s="249"/>
      <c r="I77" s="102"/>
      <c r="J77" s="102"/>
      <c r="K77" s="102"/>
      <c r="L77" s="158"/>
      <c r="N77" s="410"/>
      <c r="O77" s="3"/>
      <c r="P77" s="3"/>
    </row>
    <row r="78" spans="1:20" x14ac:dyDescent="0.2">
      <c r="A78" s="252" t="s">
        <v>296</v>
      </c>
      <c r="B78" s="7"/>
      <c r="C78" s="7"/>
      <c r="D78" s="122">
        <f t="shared" si="5"/>
        <v>10</v>
      </c>
      <c r="E78" s="123">
        <f t="shared" si="6"/>
        <v>1</v>
      </c>
      <c r="F78" s="102"/>
      <c r="G78" s="102">
        <v>10</v>
      </c>
      <c r="H78" s="249"/>
      <c r="I78" s="102"/>
      <c r="J78" s="102"/>
      <c r="K78" s="102"/>
      <c r="L78" s="158"/>
      <c r="N78" s="410"/>
      <c r="O78" s="3"/>
      <c r="P78" s="3"/>
    </row>
    <row r="79" spans="1:20" x14ac:dyDescent="0.2">
      <c r="A79" s="7" t="s">
        <v>274</v>
      </c>
      <c r="B79" s="7"/>
      <c r="C79" s="7"/>
      <c r="D79" s="122">
        <f t="shared" si="5"/>
        <v>0</v>
      </c>
      <c r="E79" s="123">
        <f t="shared" si="6"/>
        <v>1</v>
      </c>
      <c r="F79" s="102"/>
      <c r="G79" s="102">
        <v>0</v>
      </c>
      <c r="H79" s="249"/>
      <c r="I79" s="102"/>
      <c r="J79" s="102"/>
      <c r="K79" s="102"/>
      <c r="L79" s="158"/>
      <c r="N79" s="410"/>
      <c r="O79" s="3"/>
      <c r="P79" s="3"/>
    </row>
    <row r="80" spans="1:20" ht="14.25" x14ac:dyDescent="0.2">
      <c r="A80" s="7" t="s">
        <v>149</v>
      </c>
      <c r="B80" s="7"/>
      <c r="C80" s="7"/>
      <c r="D80" s="122">
        <f t="shared" si="5"/>
        <v>0.8</v>
      </c>
      <c r="E80" s="123">
        <f t="shared" si="6"/>
        <v>1</v>
      </c>
      <c r="F80" s="412"/>
      <c r="G80" s="412">
        <v>0.8</v>
      </c>
      <c r="H80" s="249"/>
      <c r="I80" s="412"/>
      <c r="J80" s="412"/>
      <c r="K80" s="412"/>
      <c r="L80" s="160"/>
      <c r="N80" s="410"/>
      <c r="O80" s="3"/>
      <c r="P80" s="3"/>
      <c r="Q80" s="252" t="s">
        <v>820</v>
      </c>
    </row>
    <row r="81" spans="1:22" ht="14.25" x14ac:dyDescent="0.2">
      <c r="A81" s="7" t="s">
        <v>150</v>
      </c>
      <c r="B81" s="7"/>
      <c r="C81" s="7"/>
      <c r="D81" s="122">
        <f t="shared" si="5"/>
        <v>1.8</v>
      </c>
      <c r="E81" s="123">
        <f t="shared" si="6"/>
        <v>1</v>
      </c>
      <c r="F81" s="102"/>
      <c r="G81" s="102">
        <v>1.8</v>
      </c>
      <c r="H81" s="249"/>
      <c r="I81" s="102"/>
      <c r="J81" s="102"/>
      <c r="K81" s="102"/>
      <c r="L81" s="158"/>
      <c r="N81" s="410"/>
      <c r="O81" s="3"/>
      <c r="P81" s="3"/>
      <c r="Q81" s="237" t="s">
        <v>712</v>
      </c>
      <c r="R81" s="237" t="s">
        <v>713</v>
      </c>
      <c r="S81" s="237" t="s">
        <v>714</v>
      </c>
      <c r="T81" s="237" t="s">
        <v>715</v>
      </c>
    </row>
    <row r="82" spans="1:22" ht="14.25" x14ac:dyDescent="0.2">
      <c r="A82" s="7" t="s">
        <v>43</v>
      </c>
      <c r="B82" s="7"/>
      <c r="C82" s="7"/>
      <c r="D82" s="122">
        <f t="shared" si="5"/>
        <v>2</v>
      </c>
      <c r="E82" s="123">
        <f t="shared" si="6"/>
        <v>1</v>
      </c>
      <c r="F82" s="102"/>
      <c r="G82" s="102">
        <v>2</v>
      </c>
      <c r="H82" s="249"/>
      <c r="I82" s="102"/>
      <c r="J82" s="102"/>
      <c r="K82" s="102"/>
      <c r="L82" s="158"/>
      <c r="N82" s="410"/>
      <c r="O82" s="3"/>
      <c r="P82" s="3"/>
      <c r="Q82" s="256">
        <v>25</v>
      </c>
      <c r="R82" s="256">
        <f>E45</f>
        <v>4</v>
      </c>
      <c r="S82" s="256">
        <f>E43</f>
        <v>20</v>
      </c>
      <c r="T82" s="20">
        <f>Q82*R82/1000*10000*S82*10^-4</f>
        <v>2</v>
      </c>
    </row>
    <row r="83" spans="1:22" x14ac:dyDescent="0.2">
      <c r="A83" s="7" t="s">
        <v>44</v>
      </c>
      <c r="B83" s="7"/>
      <c r="C83" s="7"/>
      <c r="D83" s="122">
        <f t="shared" si="5"/>
        <v>21.6</v>
      </c>
      <c r="E83" s="123">
        <f t="shared" si="6"/>
        <v>1</v>
      </c>
      <c r="F83" s="396"/>
      <c r="G83" s="396">
        <v>21.6</v>
      </c>
      <c r="H83" s="396"/>
      <c r="I83" s="396"/>
      <c r="J83" s="102"/>
      <c r="K83" s="102"/>
      <c r="L83" s="158"/>
      <c r="N83" s="410"/>
      <c r="O83" s="3"/>
      <c r="P83" s="3"/>
    </row>
    <row r="84" spans="1:22" x14ac:dyDescent="0.2">
      <c r="K84" s="191"/>
      <c r="O84" s="249"/>
    </row>
    <row r="85" spans="1:22" x14ac:dyDescent="0.2">
      <c r="K85" s="191"/>
      <c r="O85" s="249"/>
    </row>
    <row r="86" spans="1:22" x14ac:dyDescent="0.2">
      <c r="K86" s="191"/>
      <c r="O86" s="249"/>
    </row>
    <row r="87" spans="1:22" x14ac:dyDescent="0.2">
      <c r="K87" s="191"/>
      <c r="O87" s="249"/>
    </row>
    <row r="88" spans="1:22" x14ac:dyDescent="0.2">
      <c r="K88" s="191"/>
      <c r="L88" s="508"/>
      <c r="M88" s="508"/>
      <c r="N88" s="508"/>
      <c r="O88" s="508"/>
      <c r="P88" s="508"/>
      <c r="Q88" s="508"/>
      <c r="R88" s="508"/>
    </row>
    <row r="89" spans="1:22" x14ac:dyDescent="0.2">
      <c r="K89" s="191"/>
      <c r="L89" s="292"/>
      <c r="M89" s="292"/>
      <c r="N89" s="292"/>
      <c r="O89" s="292"/>
      <c r="P89" s="292"/>
      <c r="Q89" s="292"/>
      <c r="R89" s="292"/>
    </row>
    <row r="91" spans="1:22" x14ac:dyDescent="0.2">
      <c r="K91" s="288"/>
      <c r="M91" s="291"/>
      <c r="O91"/>
    </row>
    <row r="92" spans="1:22" x14ac:dyDescent="0.2">
      <c r="K92" s="288"/>
      <c r="M92" s="292"/>
      <c r="N92" s="292"/>
      <c r="O92" s="292"/>
      <c r="P92" s="292"/>
      <c r="Q92" s="292"/>
      <c r="R92" s="134"/>
      <c r="S92" s="134"/>
      <c r="T92" s="134"/>
      <c r="U92" s="134"/>
      <c r="V92" s="134"/>
    </row>
    <row r="93" spans="1:22" x14ac:dyDescent="0.2">
      <c r="K93" s="288"/>
      <c r="M93" s="292"/>
      <c r="N93" s="292"/>
      <c r="O93" s="293"/>
      <c r="P93" s="293"/>
      <c r="Q93" s="293"/>
      <c r="R93" s="292"/>
      <c r="S93" s="292"/>
      <c r="T93" s="78"/>
      <c r="U93" s="78"/>
      <c r="V93" s="78"/>
    </row>
    <row r="94" spans="1:22" x14ac:dyDescent="0.2">
      <c r="K94" s="288"/>
      <c r="M94" s="292"/>
      <c r="N94" s="292"/>
      <c r="O94" s="293"/>
      <c r="P94" s="293"/>
      <c r="Q94" s="293"/>
      <c r="R94" s="292"/>
      <c r="S94" s="292"/>
      <c r="T94" s="78"/>
      <c r="U94" s="78"/>
      <c r="V94" s="78"/>
    </row>
    <row r="95" spans="1:22" x14ac:dyDescent="0.2">
      <c r="K95" s="288"/>
      <c r="M95" s="292"/>
      <c r="N95" s="292"/>
      <c r="O95" s="293"/>
      <c r="P95" s="293"/>
      <c r="Q95" s="293"/>
      <c r="R95" s="292"/>
      <c r="S95" s="292"/>
      <c r="T95" s="78"/>
      <c r="U95" s="78"/>
      <c r="V95" s="78"/>
    </row>
    <row r="96" spans="1:22" x14ac:dyDescent="0.2">
      <c r="K96" s="289"/>
      <c r="M96" s="292"/>
      <c r="N96" s="292"/>
      <c r="O96" s="293"/>
      <c r="P96" s="293"/>
      <c r="Q96" s="293"/>
      <c r="R96" s="292"/>
      <c r="S96" s="292"/>
      <c r="T96" s="78"/>
      <c r="U96" s="78"/>
      <c r="V96" s="78"/>
    </row>
    <row r="97" spans="11:22" x14ac:dyDescent="0.2">
      <c r="K97" s="288"/>
      <c r="M97" s="292"/>
      <c r="N97" s="292"/>
      <c r="O97" s="293"/>
      <c r="P97" s="293"/>
      <c r="Q97" s="293"/>
      <c r="R97" s="292"/>
      <c r="S97" s="292"/>
      <c r="T97" s="78"/>
      <c r="U97" s="78"/>
      <c r="V97" s="78"/>
    </row>
    <row r="98" spans="11:22" x14ac:dyDescent="0.2">
      <c r="K98" s="288"/>
      <c r="M98" s="290"/>
      <c r="N98" s="290"/>
      <c r="O98" s="294"/>
      <c r="P98" s="294"/>
      <c r="Q98" s="294"/>
      <c r="R98" s="290"/>
      <c r="S98" s="290"/>
      <c r="T98" s="78"/>
      <c r="U98" s="78"/>
      <c r="V98" s="78"/>
    </row>
    <row r="99" spans="11:22" x14ac:dyDescent="0.2">
      <c r="K99" s="289"/>
      <c r="M99" s="292"/>
      <c r="N99" s="292"/>
      <c r="O99" s="293"/>
      <c r="P99" s="293"/>
      <c r="Q99" s="293"/>
      <c r="R99" s="292"/>
      <c r="S99" s="292"/>
      <c r="T99" s="78"/>
      <c r="U99" s="78"/>
      <c r="V99" s="78"/>
    </row>
    <row r="100" spans="11:22" x14ac:dyDescent="0.2">
      <c r="K100" s="288"/>
      <c r="M100" s="292"/>
      <c r="N100" s="292"/>
      <c r="O100" s="293"/>
      <c r="P100" s="293"/>
      <c r="Q100" s="293"/>
      <c r="R100" s="292"/>
      <c r="S100" s="292"/>
      <c r="T100" s="78"/>
      <c r="U100" s="78"/>
      <c r="V100" s="78"/>
    </row>
    <row r="101" spans="11:22" x14ac:dyDescent="0.2">
      <c r="K101" s="288"/>
      <c r="M101" s="290"/>
      <c r="N101" s="290"/>
      <c r="O101" s="294"/>
      <c r="P101" s="294"/>
      <c r="Q101" s="294"/>
      <c r="R101" s="290"/>
      <c r="S101" s="290"/>
      <c r="T101" s="78"/>
      <c r="U101" s="78"/>
      <c r="V101" s="78"/>
    </row>
    <row r="102" spans="11:22" x14ac:dyDescent="0.2">
      <c r="M102" s="292"/>
      <c r="N102" s="237"/>
      <c r="O102" s="293"/>
      <c r="P102" s="293"/>
      <c r="Q102" s="293"/>
      <c r="R102" s="292"/>
      <c r="S102" s="292"/>
      <c r="T102" s="78"/>
      <c r="U102" s="78"/>
      <c r="V102" s="78"/>
    </row>
    <row r="103" spans="11:22" x14ac:dyDescent="0.2">
      <c r="M103" s="292"/>
      <c r="N103" s="256"/>
      <c r="O103" s="293"/>
      <c r="P103" s="293"/>
      <c r="Q103" s="293"/>
      <c r="R103" s="292"/>
      <c r="S103" s="292"/>
      <c r="T103" s="78"/>
      <c r="U103" s="78"/>
      <c r="V103" s="78"/>
    </row>
    <row r="104" spans="11:22" x14ac:dyDescent="0.2">
      <c r="M104" s="291"/>
      <c r="N104" s="256"/>
      <c r="O104" s="134"/>
      <c r="P104" s="134"/>
      <c r="Q104" s="134"/>
    </row>
    <row r="105" spans="11:22" x14ac:dyDescent="0.2">
      <c r="M105" s="292"/>
      <c r="N105" s="256"/>
    </row>
    <row r="106" spans="11:22" x14ac:dyDescent="0.2">
      <c r="M106" s="292"/>
      <c r="N106" s="256"/>
    </row>
    <row r="107" spans="11:22" x14ac:dyDescent="0.2">
      <c r="M107" s="292"/>
      <c r="N107" s="256"/>
    </row>
    <row r="108" spans="11:22" x14ac:dyDescent="0.2">
      <c r="M108" s="292"/>
      <c r="N108" s="256"/>
    </row>
    <row r="109" spans="11:22" x14ac:dyDescent="0.2">
      <c r="M109" s="292"/>
      <c r="N109" s="256"/>
    </row>
    <row r="110" spans="11:22" x14ac:dyDescent="0.2">
      <c r="M110" s="290"/>
      <c r="N110" s="256"/>
      <c r="P110" s="20"/>
      <c r="Q110" s="20"/>
    </row>
    <row r="111" spans="11:22" x14ac:dyDescent="0.2">
      <c r="M111" s="292"/>
      <c r="N111" s="256"/>
    </row>
    <row r="112" spans="11:22" x14ac:dyDescent="0.2">
      <c r="M112" s="292"/>
      <c r="N112" s="256"/>
    </row>
    <row r="113" spans="13:14" x14ac:dyDescent="0.2">
      <c r="M113" s="290"/>
      <c r="N113" s="256"/>
    </row>
    <row r="114" spans="13:14" x14ac:dyDescent="0.2">
      <c r="M114" s="292"/>
      <c r="N114" s="288"/>
    </row>
    <row r="115" spans="13:14" x14ac:dyDescent="0.2">
      <c r="M115" s="292"/>
      <c r="N115" s="288"/>
    </row>
    <row r="140" spans="12:16" x14ac:dyDescent="0.2">
      <c r="L140" s="256"/>
    </row>
    <row r="141" spans="12:16" x14ac:dyDescent="0.2">
      <c r="L141" s="256"/>
    </row>
    <row r="142" spans="12:16" x14ac:dyDescent="0.2">
      <c r="L142" s="256"/>
    </row>
    <row r="144" spans="12:16" x14ac:dyDescent="0.2">
      <c r="L144" s="20"/>
      <c r="O144"/>
      <c r="P144" s="241"/>
    </row>
    <row r="145" spans="11:15" x14ac:dyDescent="0.2">
      <c r="K145" s="89"/>
      <c r="L145" s="20"/>
      <c r="M145" s="20"/>
      <c r="N145" s="20"/>
      <c r="O145" s="89"/>
    </row>
    <row r="146" spans="11:15" x14ac:dyDescent="0.2">
      <c r="K146" s="89"/>
      <c r="L146" s="20"/>
      <c r="M146" s="20"/>
      <c r="N146" s="20"/>
      <c r="O146" s="89"/>
    </row>
    <row r="147" spans="11:15" x14ac:dyDescent="0.2">
      <c r="K147" s="89"/>
      <c r="L147" s="20"/>
      <c r="M147" s="20"/>
      <c r="N147" s="20"/>
      <c r="O147" s="89"/>
    </row>
    <row r="148" spans="11:15" x14ac:dyDescent="0.2">
      <c r="K148" s="89"/>
      <c r="L148" s="20"/>
      <c r="M148" s="20"/>
      <c r="N148" s="20"/>
      <c r="O148" s="89"/>
    </row>
    <row r="149" spans="11:15" x14ac:dyDescent="0.2">
      <c r="K149" s="89"/>
      <c r="L149" s="20"/>
      <c r="M149" s="20"/>
      <c r="N149" s="20"/>
      <c r="O149" s="89"/>
    </row>
    <row r="150" spans="11:15" x14ac:dyDescent="0.2">
      <c r="K150" s="89"/>
      <c r="L150" s="20"/>
      <c r="M150" s="20"/>
      <c r="N150" s="20"/>
      <c r="O150" s="89"/>
    </row>
    <row r="151" spans="11:15" x14ac:dyDescent="0.2">
      <c r="K151" s="89"/>
      <c r="L151" s="20"/>
      <c r="M151" s="20"/>
      <c r="N151" s="20"/>
      <c r="O151" s="89"/>
    </row>
    <row r="152" spans="11:15" x14ac:dyDescent="0.2">
      <c r="K152" s="89"/>
      <c r="L152" s="20"/>
      <c r="M152" s="20"/>
      <c r="N152" s="20"/>
      <c r="O152" s="89"/>
    </row>
    <row r="153" spans="11:15" x14ac:dyDescent="0.2">
      <c r="K153" s="89"/>
      <c r="L153" s="20"/>
      <c r="M153" s="20"/>
      <c r="N153" s="20"/>
      <c r="O153" s="89"/>
    </row>
    <row r="154" spans="11:15" x14ac:dyDescent="0.2">
      <c r="K154" s="89"/>
      <c r="L154" s="20"/>
      <c r="M154" s="20"/>
      <c r="N154" s="20"/>
      <c r="O154" s="89"/>
    </row>
    <row r="155" spans="11:15" x14ac:dyDescent="0.2">
      <c r="K155" s="89"/>
      <c r="L155" s="20"/>
      <c r="M155" s="20"/>
      <c r="N155" s="20"/>
      <c r="O155" s="89"/>
    </row>
    <row r="156" spans="11:15" x14ac:dyDescent="0.2">
      <c r="K156" s="89"/>
      <c r="L156" s="20"/>
      <c r="M156" s="20"/>
      <c r="N156" s="20"/>
      <c r="O156" s="89"/>
    </row>
    <row r="157" spans="11:15" x14ac:dyDescent="0.2">
      <c r="K157" s="89"/>
      <c r="L157" s="20"/>
      <c r="M157" s="20"/>
      <c r="N157" s="20"/>
      <c r="O157" s="89"/>
    </row>
    <row r="158" spans="11:15" x14ac:dyDescent="0.2">
      <c r="K158" s="89"/>
      <c r="L158" s="20"/>
      <c r="M158" s="20"/>
      <c r="N158" s="20"/>
      <c r="O158" s="89"/>
    </row>
    <row r="159" spans="11:15" x14ac:dyDescent="0.2">
      <c r="K159" s="89"/>
      <c r="L159" s="20"/>
      <c r="M159" s="20"/>
      <c r="N159" s="20"/>
      <c r="O159" s="89"/>
    </row>
    <row r="160" spans="11:15" x14ac:dyDescent="0.2">
      <c r="K160" s="89"/>
      <c r="L160" s="20"/>
      <c r="M160" s="20"/>
      <c r="N160" s="20"/>
      <c r="O160" s="89"/>
    </row>
    <row r="172" spans="1:14" x14ac:dyDescent="0.2">
      <c r="K172" s="297"/>
      <c r="L172" s="297"/>
      <c r="M172" s="297"/>
      <c r="N172" s="297"/>
    </row>
    <row r="175" spans="1:14" x14ac:dyDescent="0.2">
      <c r="A175" s="296"/>
      <c r="B175" s="295"/>
    </row>
  </sheetData>
  <mergeCells count="3">
    <mergeCell ref="F3:K3"/>
    <mergeCell ref="L88:R88"/>
    <mergeCell ref="A1:M1"/>
  </mergeCells>
  <phoneticPr fontId="6" type="noConversion"/>
  <pageMargins left="0.5" right="0.5" top="0.5" bottom="0.5" header="0.5" footer="0.5"/>
  <headerFooter alignWithMargins="0">
    <oddFooter>&amp;C &amp;P&amp;R&amp;F, &amp;D</oddFooter>
  </headerFooter>
  <rowBreaks count="1" manualBreakCount="1">
    <brk id="46" max="13" man="1"/>
  </row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0000"/>
  </sheetPr>
  <dimension ref="A1:Y147"/>
  <sheetViews>
    <sheetView workbookViewId="0"/>
  </sheetViews>
  <sheetFormatPr defaultColWidth="8.85546875" defaultRowHeight="12.75" x14ac:dyDescent="0.2"/>
  <cols>
    <col min="1" max="1" width="31.42578125" customWidth="1"/>
    <col min="2" max="2" width="12.7109375" customWidth="1"/>
    <col min="3" max="12" width="19.140625" customWidth="1"/>
    <col min="13" max="13" width="8.42578125" customWidth="1"/>
    <col min="14" max="14" width="34.85546875" bestFit="1" customWidth="1"/>
    <col min="16" max="25" width="19" customWidth="1"/>
  </cols>
  <sheetData>
    <row r="1" spans="1:25" ht="15" x14ac:dyDescent="0.25">
      <c r="A1" s="367" t="s">
        <v>621</v>
      </c>
    </row>
    <row r="2" spans="1:25" ht="15" x14ac:dyDescent="0.25">
      <c r="B2" s="320" t="s">
        <v>733</v>
      </c>
      <c r="C2" s="436">
        <f ca="1">C9/(C10*C11)</f>
        <v>1</v>
      </c>
      <c r="D2" s="436">
        <f t="shared" ref="D2:L2" ca="1" si="0">D9/(D10*D11)</f>
        <v>1</v>
      </c>
      <c r="E2" s="436">
        <f t="shared" ca="1" si="0"/>
        <v>1</v>
      </c>
      <c r="F2" s="436">
        <f t="shared" ca="1" si="0"/>
        <v>1</v>
      </c>
      <c r="G2" s="436">
        <f t="shared" ca="1" si="0"/>
        <v>1</v>
      </c>
      <c r="H2" s="436">
        <f t="shared" ca="1" si="0"/>
        <v>1</v>
      </c>
      <c r="I2" s="436">
        <f t="shared" ca="1" si="0"/>
        <v>0.8112605944809913</v>
      </c>
      <c r="J2" s="437">
        <f t="shared" ca="1" si="0"/>
        <v>1</v>
      </c>
      <c r="K2" s="436">
        <f t="shared" ca="1" si="0"/>
        <v>1</v>
      </c>
      <c r="L2" s="436">
        <f t="shared" ca="1" si="0"/>
        <v>1</v>
      </c>
      <c r="N2" s="367" t="s">
        <v>874</v>
      </c>
    </row>
    <row r="3" spans="1:25" x14ac:dyDescent="0.2">
      <c r="A3" t="s">
        <v>622</v>
      </c>
      <c r="B3" t="s">
        <v>623</v>
      </c>
      <c r="C3" s="256">
        <f>'Flow and System'!C10</f>
        <v>128</v>
      </c>
      <c r="D3" s="256">
        <f>'Flow and System'!D10</f>
        <v>128</v>
      </c>
      <c r="E3" s="256">
        <f>'Flow and System'!E10</f>
        <v>128</v>
      </c>
      <c r="F3" s="256">
        <f>'Flow and System'!F10</f>
        <v>128</v>
      </c>
      <c r="G3" s="256">
        <f>'Flow and System'!G10</f>
        <v>128</v>
      </c>
      <c r="H3" s="256">
        <f>'Flow and System'!H10</f>
        <v>128</v>
      </c>
      <c r="I3" s="256">
        <f>'Flow and System'!I10</f>
        <v>128</v>
      </c>
      <c r="J3" s="256">
        <f>'Flow and System'!J10</f>
        <v>127</v>
      </c>
      <c r="K3" s="256">
        <f>'Flow and System'!K10</f>
        <v>127</v>
      </c>
      <c r="L3" s="256">
        <f>'Flow and System'!L10</f>
        <v>127</v>
      </c>
      <c r="N3" t="s">
        <v>622</v>
      </c>
      <c r="O3" t="s">
        <v>623</v>
      </c>
      <c r="P3" s="256">
        <f t="shared" ref="P3:U3" si="1">C3</f>
        <v>128</v>
      </c>
      <c r="Q3" s="256">
        <f t="shared" si="1"/>
        <v>128</v>
      </c>
      <c r="R3" s="256">
        <f t="shared" si="1"/>
        <v>128</v>
      </c>
      <c r="S3" s="256">
        <f t="shared" si="1"/>
        <v>128</v>
      </c>
      <c r="T3" s="256">
        <f t="shared" si="1"/>
        <v>128</v>
      </c>
      <c r="U3" s="256">
        <f t="shared" si="1"/>
        <v>128</v>
      </c>
      <c r="V3" s="256">
        <f t="shared" ref="V3:Y12" si="2">I3</f>
        <v>128</v>
      </c>
      <c r="W3" s="256">
        <f t="shared" si="2"/>
        <v>127</v>
      </c>
      <c r="X3" s="256">
        <f t="shared" si="2"/>
        <v>127</v>
      </c>
      <c r="Y3" s="256">
        <f t="shared" si="2"/>
        <v>127</v>
      </c>
    </row>
    <row r="4" spans="1:25" x14ac:dyDescent="0.2">
      <c r="A4" t="s">
        <v>624</v>
      </c>
      <c r="B4" t="s">
        <v>625</v>
      </c>
      <c r="C4" s="6">
        <f>'Flow and System'!C28</f>
        <v>87.73</v>
      </c>
      <c r="D4" s="473">
        <f>'Flow and System'!D28</f>
        <v>87.73</v>
      </c>
      <c r="E4" s="473">
        <f>'Flow and System'!E28</f>
        <v>87.73</v>
      </c>
      <c r="F4" s="473">
        <f>'Flow and System'!F28</f>
        <v>87.73</v>
      </c>
      <c r="G4" s="473">
        <f>'Flow and System'!G28</f>
        <v>87.73</v>
      </c>
      <c r="H4" s="473">
        <f>'Flow and System'!H28</f>
        <v>87.55</v>
      </c>
      <c r="I4" s="473">
        <f>'Flow and System'!I28</f>
        <v>87.25</v>
      </c>
      <c r="J4" s="473">
        <f>'Flow and System'!J28</f>
        <v>87.1</v>
      </c>
      <c r="K4" s="473">
        <f>'Flow and System'!K28</f>
        <v>86.9</v>
      </c>
      <c r="L4" s="473">
        <f>'Flow and System'!L28</f>
        <v>86.7</v>
      </c>
      <c r="N4" t="s">
        <v>624</v>
      </c>
      <c r="O4" t="s">
        <v>625</v>
      </c>
      <c r="P4" s="256">
        <f>C4</f>
        <v>87.73</v>
      </c>
      <c r="Q4" s="256">
        <f t="shared" ref="Q4:U12" si="3">D4</f>
        <v>87.73</v>
      </c>
      <c r="R4" s="256">
        <f t="shared" si="3"/>
        <v>87.73</v>
      </c>
      <c r="S4" s="256">
        <f>F4</f>
        <v>87.73</v>
      </c>
      <c r="T4" s="256">
        <f t="shared" ref="T4:U10" si="4">G4</f>
        <v>87.73</v>
      </c>
      <c r="U4" s="256">
        <f t="shared" si="4"/>
        <v>87.55</v>
      </c>
      <c r="V4" s="256">
        <f t="shared" si="2"/>
        <v>87.25</v>
      </c>
      <c r="W4" s="256">
        <f t="shared" si="2"/>
        <v>87.1</v>
      </c>
      <c r="X4" s="256">
        <f t="shared" si="2"/>
        <v>86.9</v>
      </c>
      <c r="Y4" s="256">
        <f t="shared" si="2"/>
        <v>86.7</v>
      </c>
    </row>
    <row r="5" spans="1:25" x14ac:dyDescent="0.2">
      <c r="A5" t="s">
        <v>0</v>
      </c>
      <c r="B5" t="s">
        <v>625</v>
      </c>
      <c r="C5" s="6">
        <f ca="1">C14*C9*C6*C12/1000</f>
        <v>87.729999999390046</v>
      </c>
      <c r="D5" s="6">
        <f ca="1">D14*D9*D6*D12/1000</f>
        <v>87.729999999998071</v>
      </c>
      <c r="E5" s="6">
        <f t="shared" ref="E5:L5" ca="1" si="5">E14*E9*E6*E12/1000</f>
        <v>87.730000000001695</v>
      </c>
      <c r="F5" s="6">
        <f t="shared" ca="1" si="5"/>
        <v>87.730000000001723</v>
      </c>
      <c r="G5" s="6">
        <f t="shared" ca="1" si="5"/>
        <v>87.730000000022955</v>
      </c>
      <c r="H5" s="6">
        <f t="shared" ca="1" si="5"/>
        <v>87.550000006358232</v>
      </c>
      <c r="I5" s="6">
        <f t="shared" ca="1" si="5"/>
        <v>87.250001303786391</v>
      </c>
      <c r="J5" s="6">
        <f t="shared" ca="1" si="5"/>
        <v>87.099999776668611</v>
      </c>
      <c r="K5" s="6">
        <f t="shared" ca="1" si="5"/>
        <v>86.900001682513548</v>
      </c>
      <c r="L5" s="6">
        <f t="shared" ca="1" si="5"/>
        <v>86.700017709567959</v>
      </c>
      <c r="M5" s="252"/>
      <c r="P5" s="256"/>
      <c r="Q5" s="256"/>
      <c r="R5" s="256"/>
      <c r="S5" s="256"/>
      <c r="T5" s="256"/>
      <c r="U5" s="256"/>
      <c r="V5" s="256"/>
      <c r="W5" s="256"/>
      <c r="X5" s="256"/>
      <c r="Y5" s="256"/>
    </row>
    <row r="6" spans="1:25" x14ac:dyDescent="0.2">
      <c r="A6" t="s">
        <v>716</v>
      </c>
      <c r="C6" s="261">
        <v>240</v>
      </c>
      <c r="D6" s="261">
        <v>240</v>
      </c>
      <c r="E6" s="261">
        <v>240</v>
      </c>
      <c r="F6" s="261">
        <v>240</v>
      </c>
      <c r="G6" s="261">
        <v>240</v>
      </c>
      <c r="H6" s="261">
        <v>240</v>
      </c>
      <c r="I6" s="261">
        <v>240</v>
      </c>
      <c r="J6" s="261">
        <v>240</v>
      </c>
      <c r="K6" s="261">
        <v>240</v>
      </c>
      <c r="L6" s="261">
        <v>240</v>
      </c>
      <c r="M6" s="256"/>
      <c r="N6" t="s">
        <v>716</v>
      </c>
      <c r="P6" s="256">
        <f t="shared" ref="P6:P12" si="6">C6</f>
        <v>240</v>
      </c>
      <c r="Q6" s="256">
        <f t="shared" si="3"/>
        <v>240</v>
      </c>
      <c r="R6" s="256">
        <f t="shared" si="3"/>
        <v>240</v>
      </c>
      <c r="S6" s="256">
        <f t="shared" si="3"/>
        <v>240</v>
      </c>
      <c r="T6" s="256">
        <f t="shared" si="4"/>
        <v>240</v>
      </c>
      <c r="U6" s="256">
        <f t="shared" si="4"/>
        <v>240</v>
      </c>
      <c r="V6" s="256">
        <f t="shared" si="2"/>
        <v>240</v>
      </c>
      <c r="W6" s="256">
        <f t="shared" si="2"/>
        <v>240</v>
      </c>
      <c r="X6" s="256">
        <f t="shared" si="2"/>
        <v>240</v>
      </c>
      <c r="Y6" s="256">
        <f t="shared" si="2"/>
        <v>240</v>
      </c>
    </row>
    <row r="7" spans="1:25" ht="17.25" x14ac:dyDescent="0.25">
      <c r="A7" t="s">
        <v>717</v>
      </c>
      <c r="B7" s="17" t="s">
        <v>718</v>
      </c>
      <c r="C7" s="4">
        <f ca="1">IF(C19=1,C3*1000/(C17/1000*P15)/10000,C3*1000/(C17/1000*C8*0.9)/10000)</f>
        <v>1230.6853551272497</v>
      </c>
      <c r="D7" s="4">
        <f t="shared" ref="D7:L7" ca="1" si="7">IF(D19=1,D3*1000/(D17/1000*Q15)/10000,D3*1000/(D17/1000*D8*0.9)/10000)</f>
        <v>708.16847795401304</v>
      </c>
      <c r="E7" s="4">
        <f t="shared" ca="1" si="7"/>
        <v>426.29432743308058</v>
      </c>
      <c r="F7" s="4">
        <f t="shared" ca="1" si="7"/>
        <v>272.53583414528657</v>
      </c>
      <c r="G7" s="4">
        <f t="shared" ca="1" si="7"/>
        <v>186.41279659711697</v>
      </c>
      <c r="H7" s="4">
        <f t="shared" ca="1" si="7"/>
        <v>131.95662757588886</v>
      </c>
      <c r="I7" s="4">
        <f t="shared" ca="1" si="7"/>
        <v>97.351269882988149</v>
      </c>
      <c r="J7" s="4">
        <f t="shared" ca="1" si="7"/>
        <v>85.411970156867994</v>
      </c>
      <c r="K7" s="4">
        <f t="shared" ca="1" si="7"/>
        <v>66.263936268827095</v>
      </c>
      <c r="L7" s="4">
        <f t="shared" ca="1" si="7"/>
        <v>52.382242907607115</v>
      </c>
      <c r="N7" t="s">
        <v>717</v>
      </c>
      <c r="O7" s="17" t="s">
        <v>718</v>
      </c>
      <c r="P7" s="4">
        <f t="shared" ca="1" si="6"/>
        <v>1230.6853551272497</v>
      </c>
      <c r="Q7" s="4">
        <f t="shared" ca="1" si="3"/>
        <v>708.16847795401304</v>
      </c>
      <c r="R7" s="4">
        <f t="shared" ca="1" si="3"/>
        <v>426.29432743308058</v>
      </c>
      <c r="S7" s="4">
        <f t="shared" ca="1" si="3"/>
        <v>272.53583414528657</v>
      </c>
      <c r="T7" s="4">
        <f t="shared" ca="1" si="4"/>
        <v>186.41279659711697</v>
      </c>
      <c r="U7" s="4">
        <f t="shared" ca="1" si="4"/>
        <v>131.95662757588886</v>
      </c>
      <c r="V7" s="4">
        <f t="shared" ca="1" si="2"/>
        <v>97.351269882988149</v>
      </c>
      <c r="W7" s="4">
        <f t="shared" ca="1" si="2"/>
        <v>85.411970156867994</v>
      </c>
      <c r="X7" s="4">
        <f t="shared" ca="1" si="2"/>
        <v>66.263936268827095</v>
      </c>
      <c r="Y7" s="4">
        <f t="shared" ca="1" si="2"/>
        <v>52.382242907607115</v>
      </c>
    </row>
    <row r="8" spans="1:25" x14ac:dyDescent="0.2">
      <c r="A8" t="s">
        <v>719</v>
      </c>
      <c r="B8" t="s">
        <v>720</v>
      </c>
      <c r="C8" s="418">
        <f>Chem!$E$49</f>
        <v>2.96</v>
      </c>
      <c r="D8" s="418">
        <f>Chem!$E$49</f>
        <v>2.96</v>
      </c>
      <c r="E8" s="418">
        <f>Chem!$E$49</f>
        <v>2.96</v>
      </c>
      <c r="F8" s="418">
        <f>Chem!$E$49</f>
        <v>2.96</v>
      </c>
      <c r="G8" s="418">
        <f>Chem!$E$49</f>
        <v>2.96</v>
      </c>
      <c r="H8" s="418">
        <f>Chem!$E$49</f>
        <v>2.96</v>
      </c>
      <c r="I8" s="418">
        <f>Chem!$E$49</f>
        <v>2.96</v>
      </c>
      <c r="J8" s="418">
        <f>Chem!$E$49</f>
        <v>2.96</v>
      </c>
      <c r="K8" s="418">
        <f>Chem!$E$49</f>
        <v>2.96</v>
      </c>
      <c r="L8" s="418">
        <f>Chem!$E$49</f>
        <v>2.96</v>
      </c>
      <c r="N8" t="s">
        <v>719</v>
      </c>
      <c r="O8" t="s">
        <v>720</v>
      </c>
      <c r="P8" s="256">
        <f t="shared" si="6"/>
        <v>2.96</v>
      </c>
      <c r="Q8" s="256">
        <f t="shared" si="3"/>
        <v>2.96</v>
      </c>
      <c r="R8" s="256">
        <f t="shared" si="3"/>
        <v>2.96</v>
      </c>
      <c r="S8" s="256">
        <f t="shared" si="3"/>
        <v>2.96</v>
      </c>
      <c r="T8" s="256">
        <f t="shared" si="4"/>
        <v>2.96</v>
      </c>
      <c r="U8" s="256">
        <f t="shared" si="4"/>
        <v>2.96</v>
      </c>
      <c r="V8" s="256">
        <f t="shared" si="2"/>
        <v>2.96</v>
      </c>
      <c r="W8" s="256">
        <f t="shared" si="2"/>
        <v>2.96</v>
      </c>
      <c r="X8" s="256">
        <f t="shared" si="2"/>
        <v>2.96</v>
      </c>
      <c r="Y8" s="256">
        <f t="shared" si="2"/>
        <v>2.96</v>
      </c>
    </row>
    <row r="9" spans="1:25" ht="17.25" x14ac:dyDescent="0.25">
      <c r="A9" t="s">
        <v>721</v>
      </c>
      <c r="B9" s="17" t="s">
        <v>722</v>
      </c>
      <c r="C9" s="4">
        <f ca="1">C7*10000/C6</f>
        <v>51278.556463635403</v>
      </c>
      <c r="D9" s="4">
        <f t="shared" ref="D9:E9" ca="1" si="8">D7*10000/D6</f>
        <v>29507.019914750545</v>
      </c>
      <c r="E9" s="4">
        <f t="shared" ca="1" si="8"/>
        <v>17762.263643045026</v>
      </c>
      <c r="F9" s="4">
        <f ca="1">F7*10000/F6</f>
        <v>11355.659756053608</v>
      </c>
      <c r="G9" s="4">
        <f t="shared" ref="G9" ca="1" si="9">G7*10000/G6</f>
        <v>7767.1998582132073</v>
      </c>
      <c r="H9" s="4">
        <f ca="1">H7*10000/H6</f>
        <v>5498.1928156620361</v>
      </c>
      <c r="I9" s="4">
        <f ca="1">I7*10000/I6</f>
        <v>4056.3029117911728</v>
      </c>
      <c r="J9" s="4">
        <f ca="1">J7*10000/J6</f>
        <v>3558.8320898695001</v>
      </c>
      <c r="K9" s="4">
        <f t="shared" ref="K9:L9" ca="1" si="10">K7*10000/K6</f>
        <v>2760.9973445344626</v>
      </c>
      <c r="L9" s="4">
        <f t="shared" ca="1" si="10"/>
        <v>2182.5934544836296</v>
      </c>
      <c r="N9" t="s">
        <v>721</v>
      </c>
      <c r="O9" s="17" t="s">
        <v>722</v>
      </c>
      <c r="P9" s="4">
        <f t="shared" ca="1" si="6"/>
        <v>51278.556463635403</v>
      </c>
      <c r="Q9" s="4">
        <f t="shared" ca="1" si="3"/>
        <v>29507.019914750545</v>
      </c>
      <c r="R9" s="4">
        <f t="shared" ca="1" si="3"/>
        <v>17762.263643045026</v>
      </c>
      <c r="S9" s="4">
        <f t="shared" ca="1" si="3"/>
        <v>11355.659756053608</v>
      </c>
      <c r="T9" s="4">
        <f t="shared" ca="1" si="4"/>
        <v>7767.1998582132073</v>
      </c>
      <c r="U9" s="4">
        <f t="shared" ca="1" si="4"/>
        <v>5498.1928156620361</v>
      </c>
      <c r="V9" s="4">
        <f t="shared" ca="1" si="2"/>
        <v>4056.3029117911728</v>
      </c>
      <c r="W9" s="4">
        <f t="shared" ca="1" si="2"/>
        <v>3558.8320898695001</v>
      </c>
      <c r="X9" s="4">
        <f t="shared" ca="1" si="2"/>
        <v>2760.9973445344626</v>
      </c>
      <c r="Y9" s="4">
        <f t="shared" ca="1" si="2"/>
        <v>2182.5934544836296</v>
      </c>
    </row>
    <row r="10" spans="1:25" x14ac:dyDescent="0.2">
      <c r="A10" t="s">
        <v>823</v>
      </c>
      <c r="C10" s="4">
        <f ca="1">EVEN(C9/500)</f>
        <v>104</v>
      </c>
      <c r="D10" s="4">
        <f t="shared" ref="D10:L10" ca="1" si="11">EVEN(D9/500)</f>
        <v>60</v>
      </c>
      <c r="E10" s="4">
        <f t="shared" ca="1" si="11"/>
        <v>36</v>
      </c>
      <c r="F10" s="4">
        <f t="shared" ca="1" si="11"/>
        <v>24</v>
      </c>
      <c r="G10" s="471">
        <f t="shared" ca="1" si="11"/>
        <v>16</v>
      </c>
      <c r="H10" s="4">
        <f t="shared" ca="1" si="11"/>
        <v>12</v>
      </c>
      <c r="I10" s="4">
        <f t="shared" ca="1" si="11"/>
        <v>10</v>
      </c>
      <c r="J10" s="4">
        <f t="shared" ca="1" si="11"/>
        <v>8</v>
      </c>
      <c r="K10" s="4">
        <f t="shared" ca="1" si="11"/>
        <v>6</v>
      </c>
      <c r="L10" s="4">
        <f t="shared" ca="1" si="11"/>
        <v>6</v>
      </c>
      <c r="N10" t="s">
        <v>823</v>
      </c>
      <c r="P10" s="4">
        <f t="shared" ca="1" si="6"/>
        <v>104</v>
      </c>
      <c r="Q10" s="4">
        <f t="shared" ca="1" si="3"/>
        <v>60</v>
      </c>
      <c r="R10" s="4">
        <f t="shared" ca="1" si="3"/>
        <v>36</v>
      </c>
      <c r="S10" s="4">
        <f t="shared" ca="1" si="3"/>
        <v>24</v>
      </c>
      <c r="T10" s="4">
        <f t="shared" ca="1" si="4"/>
        <v>16</v>
      </c>
      <c r="U10" s="4">
        <f t="shared" ca="1" si="4"/>
        <v>12</v>
      </c>
      <c r="V10" s="4">
        <f t="shared" ca="1" si="2"/>
        <v>10</v>
      </c>
      <c r="W10" s="4">
        <f t="shared" ca="1" si="2"/>
        <v>8</v>
      </c>
      <c r="X10" s="4">
        <f t="shared" ca="1" si="2"/>
        <v>6</v>
      </c>
      <c r="Y10" s="4">
        <f t="shared" ca="1" si="2"/>
        <v>6</v>
      </c>
    </row>
    <row r="11" spans="1:25" ht="17.25" x14ac:dyDescent="0.25">
      <c r="A11" s="378" t="s">
        <v>824</v>
      </c>
      <c r="B11" s="17" t="s">
        <v>722</v>
      </c>
      <c r="C11" s="379">
        <f ca="1">IF(AND(ABS(C9-6000)&gt;100,ABS(C9-4000)&gt;100),C9/C10,250)</f>
        <v>493.06304291957116</v>
      </c>
      <c r="D11" s="379">
        <f t="shared" ref="D11:I11" ca="1" si="12">IF(AND(ABS(D9-6000)&gt;100,ABS(D9-4000)&gt;100),D9/D10,500)</f>
        <v>491.78366524584243</v>
      </c>
      <c r="E11" s="379">
        <f t="shared" ca="1" si="12"/>
        <v>493.39621230680626</v>
      </c>
      <c r="F11" s="379">
        <f t="shared" ca="1" si="12"/>
        <v>473.152489835567</v>
      </c>
      <c r="G11" s="379">
        <f t="shared" ca="1" si="12"/>
        <v>485.44999113832546</v>
      </c>
      <c r="H11" s="379">
        <f ca="1">IF(AND(ABS(H9-6000)&gt;100,ABS(H9-4000)&gt;100),H9/H10,500)</f>
        <v>458.18273463850301</v>
      </c>
      <c r="I11" s="379">
        <f t="shared" ca="1" si="12"/>
        <v>500</v>
      </c>
      <c r="J11" s="379">
        <f t="shared" ref="J11:K11" ca="1" si="13">IF(AND(ABS(J9-6000)&gt;100,ABS(J9-4000)&gt;100),J9/J10,500)</f>
        <v>444.85401123368752</v>
      </c>
      <c r="K11" s="379">
        <f t="shared" ca="1" si="13"/>
        <v>460.1662240890771</v>
      </c>
      <c r="L11" s="379">
        <f t="shared" ref="L11" ca="1" si="14">IF(AND(ABS(L9-6000)&gt;100,ABS(L9-4000)&gt;100),L9/L10,500)</f>
        <v>363.76557574727161</v>
      </c>
      <c r="N11" s="378" t="s">
        <v>824</v>
      </c>
      <c r="O11" s="17" t="s">
        <v>722</v>
      </c>
      <c r="P11" s="4">
        <f t="shared" ref="P11:U11" ca="1" si="15">C11</f>
        <v>493.06304291957116</v>
      </c>
      <c r="Q11" s="4">
        <f t="shared" ca="1" si="15"/>
        <v>491.78366524584243</v>
      </c>
      <c r="R11" s="4">
        <f t="shared" ca="1" si="15"/>
        <v>493.39621230680626</v>
      </c>
      <c r="S11" s="4">
        <f t="shared" ca="1" si="15"/>
        <v>473.152489835567</v>
      </c>
      <c r="T11" s="4">
        <f t="shared" ca="1" si="15"/>
        <v>485.44999113832546</v>
      </c>
      <c r="U11" s="4">
        <f t="shared" ca="1" si="15"/>
        <v>458.18273463850301</v>
      </c>
      <c r="V11" s="4">
        <f t="shared" ca="1" si="2"/>
        <v>500</v>
      </c>
      <c r="W11" s="4">
        <f t="shared" ca="1" si="2"/>
        <v>444.85401123368752</v>
      </c>
      <c r="X11" s="4">
        <f t="shared" ca="1" si="2"/>
        <v>460.1662240890771</v>
      </c>
      <c r="Y11" s="4">
        <f t="shared" ca="1" si="2"/>
        <v>363.76557574727161</v>
      </c>
    </row>
    <row r="12" spans="1:25" x14ac:dyDescent="0.2">
      <c r="A12" s="378" t="s">
        <v>825</v>
      </c>
      <c r="B12" s="17" t="s">
        <v>720</v>
      </c>
      <c r="C12" s="21">
        <f t="shared" ref="C12:L12" si="16">0.8*C8</f>
        <v>2.3679999999999999</v>
      </c>
      <c r="D12" s="21">
        <f t="shared" si="16"/>
        <v>2.3679999999999999</v>
      </c>
      <c r="E12" s="21">
        <f t="shared" si="16"/>
        <v>2.3679999999999999</v>
      </c>
      <c r="F12" s="21">
        <f t="shared" si="16"/>
        <v>2.3679999999999999</v>
      </c>
      <c r="G12" s="21">
        <f t="shared" si="16"/>
        <v>2.3679999999999999</v>
      </c>
      <c r="H12" s="21">
        <f t="shared" si="16"/>
        <v>2.3679999999999999</v>
      </c>
      <c r="I12" s="21">
        <f t="shared" si="16"/>
        <v>2.3679999999999999</v>
      </c>
      <c r="J12" s="21">
        <f t="shared" si="16"/>
        <v>2.3679999999999999</v>
      </c>
      <c r="K12" s="21">
        <f t="shared" si="16"/>
        <v>2.3679999999999999</v>
      </c>
      <c r="L12" s="21">
        <f t="shared" si="16"/>
        <v>2.3679999999999999</v>
      </c>
      <c r="N12" s="378" t="s">
        <v>825</v>
      </c>
      <c r="O12" s="17" t="s">
        <v>720</v>
      </c>
      <c r="P12" s="256">
        <f t="shared" si="6"/>
        <v>2.3679999999999999</v>
      </c>
      <c r="Q12" s="256">
        <f t="shared" si="3"/>
        <v>2.3679999999999999</v>
      </c>
      <c r="R12" s="256">
        <f t="shared" si="3"/>
        <v>2.3679999999999999</v>
      </c>
      <c r="S12" s="256">
        <f t="shared" si="3"/>
        <v>2.3679999999999999</v>
      </c>
      <c r="T12" s="256">
        <f t="shared" si="3"/>
        <v>2.3679999999999999</v>
      </c>
      <c r="U12" s="256">
        <f t="shared" si="3"/>
        <v>2.3679999999999999</v>
      </c>
      <c r="V12" s="256">
        <f t="shared" si="2"/>
        <v>2.3679999999999999</v>
      </c>
      <c r="W12" s="256">
        <f t="shared" si="2"/>
        <v>2.3679999999999999</v>
      </c>
      <c r="X12" s="256">
        <f t="shared" si="2"/>
        <v>2.3679999999999999</v>
      </c>
      <c r="Y12" s="256">
        <f t="shared" si="2"/>
        <v>2.3679999999999999</v>
      </c>
    </row>
    <row r="13" spans="1:25" x14ac:dyDescent="0.2">
      <c r="A13" t="s">
        <v>826</v>
      </c>
      <c r="B13" s="157" t="s">
        <v>720</v>
      </c>
      <c r="C13" s="66">
        <f t="shared" ref="C13:L13" ca="1" si="17">C8-C84</f>
        <v>2.3679999999986721</v>
      </c>
      <c r="D13" s="66">
        <f t="shared" ca="1" si="17"/>
        <v>2.3679999999999906</v>
      </c>
      <c r="E13" s="66">
        <f t="shared" ca="1" si="17"/>
        <v>2.3680000000000132</v>
      </c>
      <c r="F13" s="66">
        <f t="shared" ca="1" si="17"/>
        <v>2.368000000000027</v>
      </c>
      <c r="G13" s="66">
        <f t="shared" ca="1" si="17"/>
        <v>2.3680000000003742</v>
      </c>
      <c r="H13" s="66">
        <f t="shared" ca="1" si="17"/>
        <v>2.3680000001480783</v>
      </c>
      <c r="I13" s="66">
        <f t="shared" ca="1" si="17"/>
        <v>2.3680000473535801</v>
      </c>
      <c r="J13" s="66">
        <f t="shared" ca="1" si="17"/>
        <v>2.3679999907546723</v>
      </c>
      <c r="K13" s="66">
        <f t="shared" ca="1" si="17"/>
        <v>2.3680000932803806</v>
      </c>
      <c r="L13" s="66">
        <f t="shared" ca="1" si="17"/>
        <v>2.3680012753473179</v>
      </c>
    </row>
    <row r="14" spans="1:25" ht="17.25" x14ac:dyDescent="0.25">
      <c r="A14" s="17" t="s">
        <v>802</v>
      </c>
      <c r="B14" s="17" t="s">
        <v>726</v>
      </c>
      <c r="C14" s="21">
        <f ca="1">C15</f>
        <v>3.0103666820543661E-3</v>
      </c>
      <c r="D14" s="21">
        <f t="shared" ref="D14:L14" ca="1" si="18">D15</f>
        <v>5.2315434879179898E-3</v>
      </c>
      <c r="E14" s="21">
        <f t="shared" ca="1" si="18"/>
        <v>8.690742406772544E-3</v>
      </c>
      <c r="F14" s="21">
        <f t="shared" ca="1" si="18"/>
        <v>1.3593860788281727E-2</v>
      </c>
      <c r="G14" s="21">
        <f t="shared" ca="1" si="18"/>
        <v>1.9874248210529296E-2</v>
      </c>
      <c r="H14" s="21">
        <f t="shared" ca="1" si="18"/>
        <v>2.8018394422370183E-2</v>
      </c>
      <c r="I14" s="21">
        <f t="shared" ca="1" si="18"/>
        <v>3.7847929192169331E-2</v>
      </c>
      <c r="J14" s="21">
        <f t="shared" ca="1" si="18"/>
        <v>4.3064332131364819E-2</v>
      </c>
      <c r="K14" s="21">
        <f t="shared" ca="1" si="18"/>
        <v>5.5381007927093211E-2</v>
      </c>
      <c r="L14" s="21">
        <f t="shared" ca="1" si="18"/>
        <v>6.9896172274689222E-2</v>
      </c>
      <c r="N14" s="26" t="s">
        <v>830</v>
      </c>
      <c r="O14" s="17" t="s">
        <v>727</v>
      </c>
      <c r="P14" s="66">
        <f ca="1">P15/P8</f>
        <v>0.88734306975439337</v>
      </c>
      <c r="Q14" s="66">
        <f t="shared" ref="Q14:R14" ca="1" si="19">Q15/Q8</f>
        <v>0.88981118057376807</v>
      </c>
      <c r="R14" s="66">
        <f t="shared" ca="1" si="19"/>
        <v>0.89337944765252852</v>
      </c>
      <c r="S14" s="66">
        <f ca="1">S15/S8</f>
        <v>0.89826002066672639</v>
      </c>
      <c r="T14" s="66">
        <f t="shared" ref="T14:Y14" ca="1" si="20">T15/T8</f>
        <v>0.89254832175288468</v>
      </c>
      <c r="U14" s="66">
        <f t="shared" ca="1" si="20"/>
        <v>0.89295141882522111</v>
      </c>
      <c r="V14" s="66">
        <f t="shared" ca="1" si="20"/>
        <v>0.89431707437760366</v>
      </c>
      <c r="W14" s="66">
        <f t="shared" ca="1" si="20"/>
        <v>0.90505279091924262</v>
      </c>
      <c r="X14" s="66">
        <f t="shared" ca="1" si="20"/>
        <v>0.90812415257883006</v>
      </c>
      <c r="Y14" s="66">
        <f t="shared" ca="1" si="20"/>
        <v>0.91165312252696262</v>
      </c>
    </row>
    <row r="15" spans="1:25" ht="17.25" x14ac:dyDescent="0.25">
      <c r="A15" t="s">
        <v>728</v>
      </c>
      <c r="B15" s="17" t="s">
        <v>726</v>
      </c>
      <c r="C15" s="66">
        <f t="shared" ref="C15:L15" ca="1" si="21">IF(C19=1,(C13-C12)*0.01+C14,0.02)</f>
        <v>3.0103666820410877E-3</v>
      </c>
      <c r="D15" s="66">
        <f t="shared" ca="1" si="21"/>
        <v>5.2315434879178961E-3</v>
      </c>
      <c r="E15" s="66">
        <f t="shared" ca="1" si="21"/>
        <v>8.6907424067726776E-3</v>
      </c>
      <c r="F15" s="66">
        <f t="shared" ca="1" si="21"/>
        <v>1.3593860788281998E-2</v>
      </c>
      <c r="G15" s="66">
        <f t="shared" ca="1" si="21"/>
        <v>1.987424821053304E-2</v>
      </c>
      <c r="H15" s="66">
        <f t="shared" ca="1" si="21"/>
        <v>2.8018394423850967E-2</v>
      </c>
      <c r="I15" s="66">
        <f t="shared" ca="1" si="21"/>
        <v>3.7847929665705132E-2</v>
      </c>
      <c r="J15" s="66">
        <f t="shared" ca="1" si="21"/>
        <v>4.3064332038911544E-2</v>
      </c>
      <c r="K15" s="66">
        <f t="shared" ca="1" si="21"/>
        <v>5.5381008859897017E-2</v>
      </c>
      <c r="L15" s="66">
        <f t="shared" ca="1" si="21"/>
        <v>6.9896185028162403E-2</v>
      </c>
      <c r="N15" t="s">
        <v>729</v>
      </c>
      <c r="O15" s="157" t="s">
        <v>720</v>
      </c>
      <c r="P15" s="66">
        <f t="shared" ref="P15:Y15" ca="1" si="22">P8-P84</f>
        <v>2.6265354864729353</v>
      </c>
      <c r="Q15" s="66">
        <f t="shared" ca="1" si="22"/>
        <v>2.6338410944983526</v>
      </c>
      <c r="R15" s="66">
        <f t="shared" ca="1" si="22"/>
        <v>2.644403165051485</v>
      </c>
      <c r="S15" s="66">
        <f t="shared" ca="1" si="22"/>
        <v>2.6588496611735191</v>
      </c>
      <c r="T15" s="66">
        <f t="shared" ca="1" si="22"/>
        <v>2.6419430323884914</v>
      </c>
      <c r="U15" s="66">
        <f t="shared" ca="1" si="22"/>
        <v>2.6431361997074556</v>
      </c>
      <c r="V15" s="66">
        <f t="shared" ca="1" si="22"/>
        <v>2.6471785372040055</v>
      </c>
      <c r="W15" s="66">
        <f t="shared" ca="1" si="22"/>
        <v>2.6789562616067006</v>
      </c>
      <c r="X15" s="66">
        <f t="shared" ca="1" si="22"/>
        <v>2.6880474879871943</v>
      </c>
      <c r="Y15" s="66">
        <f t="shared" ca="1" si="22"/>
        <v>2.6984932041544858</v>
      </c>
    </row>
    <row r="16" spans="1:25" ht="17.25" x14ac:dyDescent="0.25">
      <c r="A16" s="26" t="s">
        <v>829</v>
      </c>
      <c r="B16" t="s">
        <v>726</v>
      </c>
      <c r="C16" s="21">
        <f ca="1">C17/1000/5</f>
        <v>7.9197169435125015E-4</v>
      </c>
      <c r="D16" s="21">
        <f t="shared" ref="D16:L16" ca="1" si="23">D17/1000/5</f>
        <v>1.3725045863019042E-3</v>
      </c>
      <c r="E16" s="21">
        <f t="shared" ca="1" si="23"/>
        <v>2.2709247489744152E-3</v>
      </c>
      <c r="F16" s="21">
        <f t="shared" ca="1" si="23"/>
        <v>3.5328286223441593E-3</v>
      </c>
      <c r="G16" s="21">
        <f t="shared" ca="1" si="23"/>
        <v>5.19805409339885E-3</v>
      </c>
      <c r="H16" s="21">
        <f t="shared" ca="1" si="23"/>
        <v>7.3398843128681902E-3</v>
      </c>
      <c r="I16" s="21">
        <f t="shared" ca="1" si="23"/>
        <v>9.9337931124257005E-3</v>
      </c>
      <c r="J16" s="21">
        <f t="shared" ca="1" si="23"/>
        <v>1.1100674135578739E-2</v>
      </c>
      <c r="K16" s="21">
        <f t="shared" ca="1" si="23"/>
        <v>1.4260000755558661E-2</v>
      </c>
      <c r="L16" s="21">
        <f t="shared" ca="1" si="23"/>
        <v>1.796918134425354E-2</v>
      </c>
      <c r="N16" s="26" t="s">
        <v>829</v>
      </c>
      <c r="O16" t="s">
        <v>726</v>
      </c>
      <c r="P16" s="21">
        <f t="shared" ref="P16:U18" ca="1" si="24">C16</f>
        <v>7.9197169435125015E-4</v>
      </c>
      <c r="Q16" s="21">
        <f t="shared" ca="1" si="24"/>
        <v>1.3725045863019042E-3</v>
      </c>
      <c r="R16" s="21">
        <f t="shared" ca="1" si="24"/>
        <v>2.2709247489744152E-3</v>
      </c>
      <c r="S16" s="21">
        <f t="shared" ca="1" si="24"/>
        <v>3.5328286223441593E-3</v>
      </c>
      <c r="T16" s="21">
        <f t="shared" ca="1" si="24"/>
        <v>5.19805409339885E-3</v>
      </c>
      <c r="U16" s="21">
        <f t="shared" ca="1" si="24"/>
        <v>7.3398843128681902E-3</v>
      </c>
      <c r="V16" s="21">
        <f t="shared" ref="V16:Y18" ca="1" si="25">I16</f>
        <v>9.9337931124257005E-3</v>
      </c>
      <c r="W16" s="21">
        <f t="shared" ca="1" si="25"/>
        <v>1.1100674135578739E-2</v>
      </c>
      <c r="X16" s="21">
        <f t="shared" ca="1" si="25"/>
        <v>1.4260000755558661E-2</v>
      </c>
      <c r="Y16" s="21">
        <f t="shared" ca="1" si="25"/>
        <v>1.796918134425354E-2</v>
      </c>
    </row>
    <row r="17" spans="1:25" ht="17.25" x14ac:dyDescent="0.25">
      <c r="A17" s="154" t="s">
        <v>790</v>
      </c>
      <c r="B17" t="s">
        <v>731</v>
      </c>
      <c r="C17" s="6">
        <f ca="1">IF(C19=1,C14*1000/((C4*1000/(C6*C12)/(C3*1000/(C6*P15)))),C14*1000/((C4*1000/(C6*C12)/(C3*1000/(C6*C12)))))</f>
        <v>3.9598584717329763</v>
      </c>
      <c r="D17" s="6">
        <f t="shared" ref="D17:L17" ca="1" si="26">IF(D19=1,D14*1000/((D4*1000/(D6*D12)/(D3*1000/(D6*Q15)))),D14*1000/((D4*1000/(D6*D12)/(D3*1000/(D6*D12)))))</f>
        <v>6.8625229315093774</v>
      </c>
      <c r="E17" s="6">
        <f t="shared" ca="1" si="26"/>
        <v>11.354623744872272</v>
      </c>
      <c r="F17" s="6">
        <f t="shared" ca="1" si="26"/>
        <v>17.664143111721085</v>
      </c>
      <c r="G17" s="6">
        <f t="shared" ca="1" si="26"/>
        <v>25.990270467000485</v>
      </c>
      <c r="H17" s="6">
        <f t="shared" ca="1" si="26"/>
        <v>36.699421566827333</v>
      </c>
      <c r="I17" s="6">
        <f t="shared" ca="1" si="26"/>
        <v>49.668966296691586</v>
      </c>
      <c r="J17" s="6">
        <f ca="1">IF(J19=1,J14*1000/((J4*1000/(J6*J12)/(J3*1000/(J6*W15)))),J14*1000/((J4*1000/(J6*J12)/(J3*1000/(J6*J12)))))</f>
        <v>55.503370537607026</v>
      </c>
      <c r="K17" s="6">
        <f t="shared" ca="1" si="26"/>
        <v>71.300005162084986</v>
      </c>
      <c r="L17" s="6">
        <f t="shared" ca="1" si="26"/>
        <v>89.845925349200712</v>
      </c>
      <c r="N17" s="157" t="s">
        <v>730</v>
      </c>
      <c r="O17" t="s">
        <v>731</v>
      </c>
      <c r="P17" s="6">
        <f t="shared" ca="1" si="24"/>
        <v>3.9598584717329763</v>
      </c>
      <c r="Q17" s="6">
        <f t="shared" ca="1" si="24"/>
        <v>6.8625229315093774</v>
      </c>
      <c r="R17" s="6">
        <f t="shared" ca="1" si="24"/>
        <v>11.354623744872272</v>
      </c>
      <c r="S17" s="6">
        <f t="shared" ca="1" si="24"/>
        <v>17.664143111721085</v>
      </c>
      <c r="T17" s="6">
        <f t="shared" ca="1" si="24"/>
        <v>25.990270467000485</v>
      </c>
      <c r="U17" s="6">
        <f t="shared" ca="1" si="24"/>
        <v>36.699421566827333</v>
      </c>
      <c r="V17" s="6">
        <f t="shared" ca="1" si="25"/>
        <v>49.668966296691586</v>
      </c>
      <c r="W17" s="6">
        <f t="shared" ca="1" si="25"/>
        <v>55.503370537607026</v>
      </c>
      <c r="X17" s="6">
        <f t="shared" ca="1" si="25"/>
        <v>71.300005162084986</v>
      </c>
      <c r="Y17" s="6">
        <f t="shared" ca="1" si="25"/>
        <v>89.845925349200712</v>
      </c>
    </row>
    <row r="18" spans="1:25" x14ac:dyDescent="0.2">
      <c r="A18" s="425" t="s">
        <v>788</v>
      </c>
      <c r="B18" s="252" t="s">
        <v>789</v>
      </c>
      <c r="C18" s="473">
        <f ca="1">C3*1000/(C144*C8)/C6</f>
        <v>203.05582623193393</v>
      </c>
      <c r="D18" s="473">
        <f t="shared" ref="D18:L18" ca="1" si="27">D3*1000/(D144*D8)/D6</f>
        <v>202.49260080559753</v>
      </c>
      <c r="E18" s="473">
        <f t="shared" ca="1" si="27"/>
        <v>201.68382052414916</v>
      </c>
      <c r="F18" s="473">
        <f t="shared" ca="1" si="27"/>
        <v>200.58799905921606</v>
      </c>
      <c r="G18" s="473">
        <f t="shared" ca="1" si="27"/>
        <v>201.87162508614901</v>
      </c>
      <c r="H18" s="473">
        <f t="shared" ca="1" si="27"/>
        <v>200.26495485088907</v>
      </c>
      <c r="I18" s="473">
        <f t="shared" ca="1" si="27"/>
        <v>196.57471886976757</v>
      </c>
      <c r="J18" s="473">
        <f t="shared" ca="1" si="27"/>
        <v>191.91900588234245</v>
      </c>
      <c r="K18" s="473">
        <f t="shared" ca="1" si="27"/>
        <v>189.11439047495833</v>
      </c>
      <c r="L18" s="473">
        <f t="shared" ca="1" si="27"/>
        <v>186.71831367323819</v>
      </c>
      <c r="N18" s="425" t="s">
        <v>788</v>
      </c>
      <c r="O18" s="252" t="s">
        <v>789</v>
      </c>
      <c r="P18" s="6">
        <f ca="1">C18</f>
        <v>203.05582623193393</v>
      </c>
      <c r="Q18" s="6">
        <f t="shared" ca="1" si="24"/>
        <v>202.49260080559753</v>
      </c>
      <c r="R18" s="6">
        <f t="shared" ca="1" si="24"/>
        <v>201.68382052414916</v>
      </c>
      <c r="S18" s="6">
        <f t="shared" ca="1" si="24"/>
        <v>200.58799905921606</v>
      </c>
      <c r="T18" s="6">
        <f t="shared" ca="1" si="24"/>
        <v>201.87162508614901</v>
      </c>
      <c r="U18" s="6">
        <f t="shared" ca="1" si="24"/>
        <v>200.26495485088907</v>
      </c>
      <c r="V18" s="6">
        <f t="shared" ca="1" si="25"/>
        <v>196.57471886976757</v>
      </c>
      <c r="W18" s="6">
        <f t="shared" ca="1" si="25"/>
        <v>191.91900588234245</v>
      </c>
      <c r="X18" s="6">
        <f t="shared" ca="1" si="25"/>
        <v>189.11439047495833</v>
      </c>
      <c r="Y18" s="6">
        <f t="shared" ca="1" si="25"/>
        <v>186.71831367323819</v>
      </c>
    </row>
    <row r="19" spans="1:25" ht="15" x14ac:dyDescent="0.25">
      <c r="A19" s="369" t="s">
        <v>732</v>
      </c>
      <c r="C19" s="380">
        <v>1</v>
      </c>
      <c r="D19" s="468">
        <f t="shared" ref="D19:G20" si="28">C19</f>
        <v>1</v>
      </c>
      <c r="E19" s="380">
        <f t="shared" ref="E19:G19" si="29">D19</f>
        <v>1</v>
      </c>
      <c r="F19" s="380">
        <f t="shared" si="29"/>
        <v>1</v>
      </c>
      <c r="G19" s="380">
        <f t="shared" si="29"/>
        <v>1</v>
      </c>
      <c r="H19" s="380">
        <v>1</v>
      </c>
      <c r="I19" s="467">
        <v>1</v>
      </c>
      <c r="J19" s="467">
        <v>1</v>
      </c>
      <c r="K19" s="467">
        <v>1</v>
      </c>
      <c r="L19" s="467">
        <v>1</v>
      </c>
      <c r="N19" s="369"/>
      <c r="P19" s="380"/>
      <c r="Q19" s="380"/>
      <c r="R19" s="380"/>
      <c r="S19" s="380"/>
      <c r="T19" s="380"/>
      <c r="U19" s="380"/>
      <c r="V19" s="380"/>
      <c r="W19" s="380"/>
      <c r="X19" s="380"/>
      <c r="Y19" s="380"/>
    </row>
    <row r="20" spans="1:25" ht="15" x14ac:dyDescent="0.25">
      <c r="A20" s="369" t="s">
        <v>632</v>
      </c>
      <c r="C20" s="381">
        <v>1</v>
      </c>
      <c r="D20" s="468">
        <f t="shared" si="28"/>
        <v>1</v>
      </c>
      <c r="E20" s="381">
        <f t="shared" si="28"/>
        <v>1</v>
      </c>
      <c r="F20" s="381">
        <f t="shared" si="28"/>
        <v>1</v>
      </c>
      <c r="G20" s="381">
        <f t="shared" si="28"/>
        <v>1</v>
      </c>
      <c r="H20" s="381">
        <v>1</v>
      </c>
      <c r="I20" s="468">
        <v>1</v>
      </c>
      <c r="J20" s="468">
        <v>1</v>
      </c>
      <c r="K20" s="468">
        <v>1</v>
      </c>
      <c r="L20" s="468">
        <v>1</v>
      </c>
      <c r="N20" s="369" t="s">
        <v>632</v>
      </c>
      <c r="P20" s="381">
        <f>C20</f>
        <v>1</v>
      </c>
      <c r="Q20" s="381">
        <f t="shared" ref="Q20:S20" si="30">D20</f>
        <v>1</v>
      </c>
      <c r="R20" s="381">
        <f t="shared" si="30"/>
        <v>1</v>
      </c>
      <c r="S20" s="381">
        <f t="shared" si="30"/>
        <v>1</v>
      </c>
      <c r="T20" s="381">
        <f t="shared" ref="T20" si="31">G20</f>
        <v>1</v>
      </c>
      <c r="U20" s="381">
        <f t="shared" ref="U20:V20" si="32">H20</f>
        <v>1</v>
      </c>
      <c r="V20" s="381">
        <f t="shared" si="32"/>
        <v>1</v>
      </c>
      <c r="W20" s="381">
        <v>1</v>
      </c>
      <c r="X20" s="381">
        <f t="shared" ref="X20" si="33">K20</f>
        <v>1</v>
      </c>
      <c r="Y20" s="381">
        <f t="shared" ref="Y20" si="34">L20</f>
        <v>1</v>
      </c>
    </row>
    <row r="21" spans="1:25" ht="15" x14ac:dyDescent="0.25">
      <c r="A21" s="369" t="s">
        <v>633</v>
      </c>
      <c r="C21" s="382" t="str">
        <f ca="1">IF(AND(C67&lt;3.1,C67&gt;0.01),IF('Flow and System'!C44&lt;0,"reset flow",""),"reset positive")</f>
        <v/>
      </c>
      <c r="D21" s="382" t="str">
        <f ca="1">IF(AND(D67&lt;3.1,D67&gt;0.01),IF('Flow and System'!D44&lt;0,"reset flow",""),"reset positive")</f>
        <v/>
      </c>
      <c r="E21" s="382" t="str">
        <f ca="1">IF(AND(E67&lt;3.1,E67&gt;0.01),IF('Flow and System'!E44&lt;0,"reset flow",""),"reset positive")</f>
        <v/>
      </c>
      <c r="F21" s="382" t="str">
        <f ca="1">IF(AND(F67&lt;3.1,F67&gt;0.01),IF('Flow and System'!F44&lt;0,"reset flow",""),"reset positive")</f>
        <v/>
      </c>
      <c r="G21" s="382" t="str">
        <f ca="1">IF(AND(G67&lt;3.1,G67&gt;0.01),IF('Flow and System'!G44&lt;0,"reset flow",""),"reset positive")</f>
        <v/>
      </c>
      <c r="H21" s="382" t="str">
        <f ca="1">IF(AND(H67&lt;3.1,H67&gt;0.01),IF('Flow and System'!H44&lt;0,"reset flow",""),"reset positive")</f>
        <v/>
      </c>
      <c r="I21" s="382" t="str">
        <f ca="1">IF(I60="Use Linear","",IF(AND(I67&lt;3.1,I67&gt;0.01),IF('Flow and System'!I44&lt;0,"reset flow",""),"reset positive"))</f>
        <v/>
      </c>
      <c r="J21" s="382" t="str">
        <f ca="1">IF(J60="Use Linear","",IF(AND(J67&lt;3.1,J67&gt;0.01),IF('Flow and System'!J44&lt;0,"reset flow",""),"reset positive"))</f>
        <v/>
      </c>
      <c r="K21" s="382" t="str">
        <f ca="1">IF(K60="Use Linear","",IF(AND(K67&lt;3.1,K67&gt;0.01),IF('Flow and System'!K44&lt;0,"reset flow",""),"reset positive"))</f>
        <v/>
      </c>
      <c r="L21" s="382" t="str">
        <f ca="1">IF(L60="Use Linear","",IF(AND(L67&lt;3.1,L67&gt;0.01),IF('Flow and System'!L44&lt;0,"reset flow",""),"reset positive"))</f>
        <v/>
      </c>
      <c r="N21" s="369" t="s">
        <v>633</v>
      </c>
      <c r="P21" s="382" t="str">
        <f ca="1">IF(AND(P67&lt;3.1,P67&gt;0.1),"","reset positive")</f>
        <v/>
      </c>
      <c r="Q21" s="382" t="str">
        <f t="shared" ref="Q21:R21" ca="1" si="35">IF(AND(Q67&lt;3.1,Q67&gt;0.1),"","reset positive")</f>
        <v/>
      </c>
      <c r="R21" s="382" t="str">
        <f t="shared" ca="1" si="35"/>
        <v/>
      </c>
      <c r="S21" s="382" t="str">
        <f ca="1">IF(AND(S67&lt;3.1,S67&gt;0.1),"","reset positive")</f>
        <v/>
      </c>
      <c r="T21" s="382" t="str">
        <f t="shared" ref="T21:V21" ca="1" si="36">IF(AND(T67&lt;3.1,T67&gt;0.1),"","reset positive")</f>
        <v/>
      </c>
      <c r="U21" s="382" t="str">
        <f t="shared" ca="1" si="36"/>
        <v/>
      </c>
      <c r="V21" s="382" t="str">
        <f t="shared" ca="1" si="36"/>
        <v/>
      </c>
      <c r="W21" s="382" t="str">
        <f ca="1">IF(W60="Use Linear","",IF(AND(W67&lt;3.1,W67&gt;0.01),IF('Flow and System'!W44&lt;0,"reset flow",""),"reset positive"))</f>
        <v/>
      </c>
      <c r="X21" s="382" t="str">
        <f ca="1">IF(X60="Use Linear","",IF(AND(X67&lt;3.1,X67&gt;0.01),IF('Flow and System'!X44&lt;0,"reset flow",""),"reset positive"))</f>
        <v/>
      </c>
      <c r="Y21" s="382" t="str">
        <f ca="1">IF(Y60="Use Linear","",IF(AND(Y67&lt;3.1,Y67&gt;0.01),IF('Flow and System'!Y44&lt;0,"reset flow",""),"reset positive"))</f>
        <v/>
      </c>
    </row>
    <row r="22" spans="1:25" ht="15.75" thickBot="1" x14ac:dyDescent="0.3">
      <c r="A22" s="383" t="s">
        <v>634</v>
      </c>
      <c r="B22" s="383" t="s">
        <v>635</v>
      </c>
      <c r="C22" s="384"/>
      <c r="D22" s="384"/>
      <c r="E22" s="384"/>
      <c r="F22" s="384"/>
      <c r="G22" s="384"/>
      <c r="H22" s="384"/>
      <c r="I22" s="384"/>
      <c r="J22" s="384"/>
      <c r="K22" s="384"/>
      <c r="L22" s="384"/>
      <c r="N22" s="383" t="s">
        <v>634</v>
      </c>
      <c r="O22" s="383" t="s">
        <v>635</v>
      </c>
      <c r="P22" s="384"/>
      <c r="Q22" s="384"/>
      <c r="R22" s="384"/>
      <c r="S22" s="384"/>
      <c r="T22" s="384"/>
      <c r="U22" s="384"/>
      <c r="V22" s="384"/>
      <c r="W22" s="384"/>
      <c r="X22" s="384"/>
      <c r="Y22" s="384"/>
    </row>
    <row r="23" spans="1:25" ht="15" x14ac:dyDescent="0.25">
      <c r="A23" s="385"/>
      <c r="N23" s="385"/>
    </row>
    <row r="24" spans="1:25" x14ac:dyDescent="0.2">
      <c r="C24" s="256"/>
      <c r="D24" s="256"/>
      <c r="E24" s="256"/>
      <c r="F24" s="256"/>
      <c r="G24" s="256"/>
      <c r="H24" s="256"/>
      <c r="I24" s="256"/>
      <c r="J24" s="256"/>
      <c r="K24" s="256"/>
      <c r="L24" s="256"/>
      <c r="P24" s="256"/>
      <c r="Q24" s="256"/>
      <c r="R24" s="256"/>
      <c r="S24" s="256"/>
      <c r="T24" s="256"/>
      <c r="U24" s="256"/>
      <c r="V24" s="256"/>
      <c r="W24" s="256"/>
      <c r="X24" s="256"/>
      <c r="Y24" s="256"/>
    </row>
    <row r="25" spans="1:25" x14ac:dyDescent="0.2">
      <c r="C25" s="66"/>
      <c r="D25" s="66"/>
      <c r="E25" s="66"/>
      <c r="F25" s="66"/>
      <c r="G25" s="66"/>
      <c r="H25" s="66"/>
      <c r="I25" s="66"/>
      <c r="J25" s="66"/>
      <c r="K25" s="66"/>
      <c r="L25" s="66"/>
      <c r="P25" s="66"/>
      <c r="Q25" s="66"/>
      <c r="R25" s="66"/>
      <c r="S25" s="66"/>
      <c r="T25" s="66"/>
      <c r="U25" s="66"/>
      <c r="V25" s="66"/>
      <c r="W25" s="66"/>
      <c r="X25" s="66"/>
      <c r="Y25" s="66"/>
    </row>
    <row r="26" spans="1:25" x14ac:dyDescent="0.2">
      <c r="C26" s="20"/>
      <c r="D26" s="20"/>
      <c r="E26" s="20"/>
      <c r="F26" s="20"/>
      <c r="G26" s="20"/>
      <c r="H26" s="20"/>
      <c r="I26" s="20"/>
      <c r="J26" s="20"/>
      <c r="K26" s="20"/>
      <c r="L26" s="20"/>
      <c r="P26" s="20"/>
      <c r="Q26" s="20"/>
      <c r="R26" s="20"/>
      <c r="S26" s="20"/>
      <c r="T26" s="20"/>
      <c r="U26" s="20"/>
      <c r="V26" s="20"/>
      <c r="W26" s="20"/>
      <c r="X26" s="20"/>
      <c r="Y26" s="20"/>
    </row>
    <row r="27" spans="1:25" ht="15" x14ac:dyDescent="0.25">
      <c r="A27" s="386"/>
      <c r="B27" s="386"/>
      <c r="C27" s="387"/>
      <c r="D27" s="387"/>
      <c r="E27" s="387"/>
      <c r="F27" s="387"/>
      <c r="G27" s="387"/>
      <c r="H27" s="387"/>
      <c r="I27" s="387"/>
      <c r="J27" s="387"/>
      <c r="K27" s="387"/>
      <c r="L27" s="387"/>
      <c r="N27" s="386"/>
      <c r="O27" s="386"/>
      <c r="P27" s="387"/>
      <c r="Q27" s="387"/>
      <c r="R27" s="387"/>
      <c r="S27" s="387"/>
      <c r="T27" s="387"/>
      <c r="U27" s="387"/>
      <c r="V27" s="387"/>
      <c r="W27" s="387"/>
      <c r="X27" s="387"/>
      <c r="Y27" s="387"/>
    </row>
    <row r="28" spans="1:25" ht="15" x14ac:dyDescent="0.25">
      <c r="A28" s="385" t="s">
        <v>737</v>
      </c>
      <c r="B28" t="s">
        <v>835</v>
      </c>
      <c r="C28" s="256"/>
      <c r="D28" s="256"/>
      <c r="E28" s="256"/>
      <c r="F28" s="256"/>
      <c r="G28" s="256"/>
      <c r="H28" s="256"/>
      <c r="I28" s="256"/>
      <c r="J28" s="256"/>
      <c r="K28" s="256"/>
      <c r="L28" s="256"/>
      <c r="N28" s="385" t="s">
        <v>737</v>
      </c>
      <c r="O28" t="s">
        <v>835</v>
      </c>
      <c r="P28" s="256"/>
      <c r="Q28" s="256"/>
      <c r="R28" s="256"/>
      <c r="S28" s="256"/>
      <c r="T28" s="256"/>
      <c r="U28" s="256"/>
      <c r="V28" s="256"/>
      <c r="W28" s="256"/>
      <c r="X28" s="256"/>
      <c r="Y28" s="256"/>
    </row>
    <row r="29" spans="1:25" x14ac:dyDescent="0.2">
      <c r="A29" s="365" t="s">
        <v>836</v>
      </c>
      <c r="B29" t="s">
        <v>837</v>
      </c>
      <c r="C29" s="418">
        <f>Chem!$E$24</f>
        <v>1.5</v>
      </c>
      <c r="D29" s="418">
        <f>Chem!$E$24</f>
        <v>1.5</v>
      </c>
      <c r="E29" s="418">
        <f>Chem!$E$24</f>
        <v>1.5</v>
      </c>
      <c r="F29" s="418">
        <f>Chem!$E$24</f>
        <v>1.5</v>
      </c>
      <c r="G29" s="418">
        <f>Chem!$E$24</f>
        <v>1.5</v>
      </c>
      <c r="H29" s="418">
        <f>Chem!$E$24</f>
        <v>1.5</v>
      </c>
      <c r="I29" s="418">
        <f>Chem!$E$24</f>
        <v>1.5</v>
      </c>
      <c r="J29" s="418">
        <f>Chem!$E$24</f>
        <v>1.5</v>
      </c>
      <c r="K29" s="418">
        <f>Chem!$E$24</f>
        <v>1.5</v>
      </c>
      <c r="L29" s="418">
        <f>Chem!$E$24</f>
        <v>1.5</v>
      </c>
      <c r="N29" s="365" t="s">
        <v>836</v>
      </c>
      <c r="O29" t="s">
        <v>837</v>
      </c>
      <c r="P29" s="256">
        <v>1.5</v>
      </c>
      <c r="Q29" s="256">
        <v>1.5</v>
      </c>
      <c r="R29" s="256">
        <v>1.5</v>
      </c>
      <c r="S29" s="256">
        <v>1.5</v>
      </c>
      <c r="T29" s="256">
        <v>1.5</v>
      </c>
      <c r="U29" s="256">
        <v>1.5</v>
      </c>
      <c r="V29" s="256">
        <v>1.5</v>
      </c>
      <c r="W29" s="256">
        <v>1.5</v>
      </c>
      <c r="X29" s="256">
        <v>1.5</v>
      </c>
      <c r="Y29" s="256">
        <v>1.5</v>
      </c>
    </row>
    <row r="30" spans="1:25" x14ac:dyDescent="0.2">
      <c r="A30" s="365" t="s">
        <v>739</v>
      </c>
      <c r="B30" t="s">
        <v>740</v>
      </c>
      <c r="C30" s="419">
        <f ca="1">C17/'Battery Design'!F41/1000*C29</f>
        <v>2.9026538767449352E-3</v>
      </c>
      <c r="D30" s="419">
        <f ca="1">D17/'Battery Design'!G41/1000*D29</f>
        <v>5.0303638207249389E-3</v>
      </c>
      <c r="E30" s="419">
        <f ca="1">E17/'Battery Design'!H41/1000*E29</f>
        <v>8.3231617663370068E-3</v>
      </c>
      <c r="F30" s="419">
        <f ca="1">F17/'Battery Design'!I41/1000*F29</f>
        <v>1.2948163134773778E-2</v>
      </c>
      <c r="G30" s="419">
        <f ca="1">G17/'Battery Design'!J41/1000*G29</f>
        <v>1.9051377686150683E-2</v>
      </c>
      <c r="H30" s="419">
        <f ca="1">H17/'Battery Design'!K41/1000*H29</f>
        <v>2.6901395351796135E-2</v>
      </c>
      <c r="I30" s="419">
        <f ca="1">I17/'Battery Design'!L41/1000*I29</f>
        <v>3.6408325854108275E-2</v>
      </c>
      <c r="J30" s="419">
        <f ca="1">J17/'Battery Design'!M41/1000*J29</f>
        <v>4.0685058522530841E-2</v>
      </c>
      <c r="K30" s="419">
        <f ca="1">K17/'Battery Design'!N41/1000*K29</f>
        <v>5.2264301331225893E-2</v>
      </c>
      <c r="L30" s="419">
        <f ca="1">L17/'Battery Design'!O41/1000*L29</f>
        <v>6.5858824345927117E-2</v>
      </c>
      <c r="N30" s="365" t="s">
        <v>739</v>
      </c>
      <c r="O30" t="s">
        <v>740</v>
      </c>
      <c r="P30" s="212">
        <f ca="1">C30</f>
        <v>2.9026538767449352E-3</v>
      </c>
      <c r="Q30" s="474">
        <f t="shared" ref="Q30:U30" ca="1" si="37">D30</f>
        <v>5.0303638207249389E-3</v>
      </c>
      <c r="R30" s="474">
        <f t="shared" ca="1" si="37"/>
        <v>8.3231617663370068E-3</v>
      </c>
      <c r="S30" s="474">
        <f t="shared" ca="1" si="37"/>
        <v>1.2948163134773778E-2</v>
      </c>
      <c r="T30" s="474">
        <f t="shared" ca="1" si="37"/>
        <v>1.9051377686150683E-2</v>
      </c>
      <c r="U30" s="474">
        <f t="shared" ca="1" si="37"/>
        <v>2.6901395351796135E-2</v>
      </c>
      <c r="V30" s="474">
        <f ca="1">I30</f>
        <v>3.6408325854108275E-2</v>
      </c>
      <c r="W30" s="474">
        <f t="shared" ref="W30" ca="1" si="38">J30</f>
        <v>4.0685058522530841E-2</v>
      </c>
      <c r="X30" s="474">
        <f t="shared" ref="X30" ca="1" si="39">K30</f>
        <v>5.2264301331225893E-2</v>
      </c>
      <c r="Y30" s="474">
        <f t="shared" ref="Y30" ca="1" si="40">L30</f>
        <v>6.5858824345927117E-2</v>
      </c>
    </row>
    <row r="31" spans="1:25" x14ac:dyDescent="0.2">
      <c r="A31" t="s">
        <v>741</v>
      </c>
      <c r="C31" s="256" t="s">
        <v>742</v>
      </c>
      <c r="D31" s="256" t="s">
        <v>742</v>
      </c>
      <c r="E31" s="256" t="s">
        <v>742</v>
      </c>
      <c r="F31" s="256" t="s">
        <v>742</v>
      </c>
      <c r="G31" s="256" t="s">
        <v>742</v>
      </c>
      <c r="H31" s="256" t="s">
        <v>742</v>
      </c>
      <c r="I31" s="256" t="s">
        <v>742</v>
      </c>
      <c r="J31" s="256" t="s">
        <v>742</v>
      </c>
      <c r="K31" s="256" t="s">
        <v>742</v>
      </c>
      <c r="L31" s="256" t="s">
        <v>742</v>
      </c>
      <c r="N31" t="s">
        <v>741</v>
      </c>
      <c r="P31" s="256" t="s">
        <v>742</v>
      </c>
      <c r="Q31" s="256" t="s">
        <v>742</v>
      </c>
      <c r="R31" s="256" t="s">
        <v>742</v>
      </c>
      <c r="S31" s="256" t="s">
        <v>742</v>
      </c>
      <c r="T31" s="256" t="s">
        <v>742</v>
      </c>
      <c r="U31" s="256" t="s">
        <v>742</v>
      </c>
      <c r="V31" s="256" t="s">
        <v>742</v>
      </c>
      <c r="W31" s="256" t="s">
        <v>742</v>
      </c>
      <c r="X31" s="256" t="s">
        <v>742</v>
      </c>
      <c r="Y31" s="256" t="s">
        <v>742</v>
      </c>
    </row>
    <row r="32" spans="1:25" ht="18.75" x14ac:dyDescent="0.35">
      <c r="A32" t="s">
        <v>743</v>
      </c>
      <c r="B32" t="s">
        <v>726</v>
      </c>
      <c r="C32" s="372">
        <v>1E-4</v>
      </c>
      <c r="D32" s="372">
        <f>C32*1.45</f>
        <v>1.45E-4</v>
      </c>
      <c r="E32" s="475">
        <f t="shared" ref="E32:L32" si="41">D32*1.45</f>
        <v>2.1024999999999999E-4</v>
      </c>
      <c r="F32" s="475">
        <f t="shared" si="41"/>
        <v>3.0486249999999999E-4</v>
      </c>
      <c r="G32" s="475">
        <f t="shared" si="41"/>
        <v>4.4205062499999998E-4</v>
      </c>
      <c r="H32" s="475">
        <f t="shared" si="41"/>
        <v>6.4097340624999998E-4</v>
      </c>
      <c r="I32" s="475">
        <f t="shared" si="41"/>
        <v>9.2941143906249989E-4</v>
      </c>
      <c r="J32" s="475">
        <f t="shared" si="41"/>
        <v>1.3476465866406248E-3</v>
      </c>
      <c r="K32" s="475">
        <f t="shared" si="41"/>
        <v>1.9540875506289059E-3</v>
      </c>
      <c r="L32" s="475">
        <f t="shared" si="41"/>
        <v>2.8334269484119137E-3</v>
      </c>
      <c r="N32" t="s">
        <v>743</v>
      </c>
      <c r="O32" t="s">
        <v>726</v>
      </c>
      <c r="P32" s="372">
        <f t="shared" ref="P32:U33" si="42">C32</f>
        <v>1E-4</v>
      </c>
      <c r="Q32" s="372">
        <f t="shared" si="42"/>
        <v>1.45E-4</v>
      </c>
      <c r="R32" s="372">
        <f t="shared" si="42"/>
        <v>2.1024999999999999E-4</v>
      </c>
      <c r="S32" s="372">
        <f t="shared" si="42"/>
        <v>3.0486249999999999E-4</v>
      </c>
      <c r="T32" s="372">
        <f t="shared" si="42"/>
        <v>4.4205062499999998E-4</v>
      </c>
      <c r="U32" s="372">
        <f t="shared" si="42"/>
        <v>6.4097340624999998E-4</v>
      </c>
      <c r="V32" s="372">
        <f t="shared" ref="V32:Y33" si="43">I32</f>
        <v>9.2941143906249989E-4</v>
      </c>
      <c r="W32" s="372">
        <f t="shared" si="43"/>
        <v>1.3476465866406248E-3</v>
      </c>
      <c r="X32" s="372">
        <f t="shared" si="43"/>
        <v>1.9540875506289059E-3</v>
      </c>
      <c r="Y32" s="372">
        <f t="shared" si="43"/>
        <v>2.8334269484119137E-3</v>
      </c>
    </row>
    <row r="33" spans="1:25" ht="15" x14ac:dyDescent="0.25">
      <c r="A33" t="s">
        <v>744</v>
      </c>
      <c r="C33" s="256">
        <v>0.5</v>
      </c>
      <c r="D33" s="256">
        <v>0.5</v>
      </c>
      <c r="E33" s="256">
        <v>0.5</v>
      </c>
      <c r="F33" s="256">
        <v>0.5</v>
      </c>
      <c r="G33" s="256">
        <v>0.5</v>
      </c>
      <c r="H33" s="256">
        <v>0.5</v>
      </c>
      <c r="I33" s="256">
        <v>0.5</v>
      </c>
      <c r="J33" s="256">
        <v>0.5</v>
      </c>
      <c r="K33" s="256">
        <v>0.5</v>
      </c>
      <c r="L33" s="256">
        <v>0.5</v>
      </c>
      <c r="N33" t="s">
        <v>744</v>
      </c>
      <c r="P33" s="256">
        <f t="shared" si="42"/>
        <v>0.5</v>
      </c>
      <c r="Q33" s="256">
        <f t="shared" si="42"/>
        <v>0.5</v>
      </c>
      <c r="R33" s="256">
        <f t="shared" si="42"/>
        <v>0.5</v>
      </c>
      <c r="S33" s="256">
        <f t="shared" si="42"/>
        <v>0.5</v>
      </c>
      <c r="T33" s="256">
        <f t="shared" si="42"/>
        <v>0.5</v>
      </c>
      <c r="U33" s="256">
        <f t="shared" si="42"/>
        <v>0.5</v>
      </c>
      <c r="V33" s="256">
        <f t="shared" si="43"/>
        <v>0.5</v>
      </c>
      <c r="W33" s="256">
        <f t="shared" si="43"/>
        <v>0.5</v>
      </c>
      <c r="X33" s="256">
        <f t="shared" si="43"/>
        <v>0.5</v>
      </c>
      <c r="Y33" s="256">
        <f t="shared" si="43"/>
        <v>0.5</v>
      </c>
    </row>
    <row r="34" spans="1:25" ht="15" x14ac:dyDescent="0.25">
      <c r="A34" t="s">
        <v>745</v>
      </c>
      <c r="B34" t="s">
        <v>720</v>
      </c>
      <c r="C34" s="20">
        <f t="shared" ref="C34:L34" ca="1" si="44">8.31443*303/(C33*96485.3)*ASINH(C$14/(2*C32))</f>
        <v>0.17785109573486438</v>
      </c>
      <c r="D34" s="20">
        <f t="shared" ca="1" si="44"/>
        <v>0.18728983603108684</v>
      </c>
      <c r="E34" s="20">
        <f t="shared" ca="1" si="44"/>
        <v>0.19438173556829072</v>
      </c>
      <c r="F34" s="20">
        <f t="shared" ca="1" si="44"/>
        <v>0.19833559364732425</v>
      </c>
      <c r="G34" s="20">
        <f t="shared" ca="1" si="44"/>
        <v>0.19876562129251679</v>
      </c>
      <c r="H34" s="20">
        <f t="shared" ca="1" si="44"/>
        <v>0.19729829013573941</v>
      </c>
      <c r="I34" s="20">
        <f t="shared" ca="1" si="44"/>
        <v>0.19360267302380565</v>
      </c>
      <c r="J34" s="20">
        <f t="shared" ca="1" si="44"/>
        <v>0.1809616058731062</v>
      </c>
      <c r="K34" s="20">
        <f t="shared" ca="1" si="44"/>
        <v>0.17470778670250006</v>
      </c>
      <c r="L34" s="20">
        <f t="shared" ca="1" si="44"/>
        <v>0.16748079709572616</v>
      </c>
      <c r="N34" t="s">
        <v>745</v>
      </c>
      <c r="O34" t="s">
        <v>720</v>
      </c>
      <c r="P34" s="20">
        <f t="shared" ref="P34:Y34" ca="1" si="45">8.31443*303/(P33*96485.3)*ASINH(P$16/(2*P32))</f>
        <v>0.10887684918125555</v>
      </c>
      <c r="Q34" s="20">
        <f t="shared" ca="1" si="45"/>
        <v>0.11794797767734483</v>
      </c>
      <c r="R34" s="20">
        <f t="shared" ca="1" si="45"/>
        <v>0.12470906809973421</v>
      </c>
      <c r="S34" s="20">
        <f t="shared" ca="1" si="45"/>
        <v>0.12832533579057073</v>
      </c>
      <c r="T34" s="20">
        <f t="shared" ca="1" si="45"/>
        <v>0.1290779387010538</v>
      </c>
      <c r="U34" s="20">
        <f t="shared" ca="1" si="45"/>
        <v>0.12771291852297839</v>
      </c>
      <c r="V34" s="20">
        <f t="shared" ca="1" si="45"/>
        <v>0.12417006189700501</v>
      </c>
      <c r="W34" s="20">
        <f t="shared" ca="1" si="45"/>
        <v>0.11086847113830946</v>
      </c>
      <c r="X34" s="20">
        <f t="shared" ca="1" si="45"/>
        <v>0.10474485731030389</v>
      </c>
      <c r="Y34" s="20">
        <f t="shared" ca="1" si="45"/>
        <v>9.7713351726420331E-2</v>
      </c>
    </row>
    <row r="35" spans="1:25" ht="17.25" x14ac:dyDescent="0.25">
      <c r="A35" t="s">
        <v>735</v>
      </c>
      <c r="B35" t="s">
        <v>736</v>
      </c>
      <c r="C35" s="4">
        <f t="shared" ref="C35:L35" ca="1" si="46">C34/C14</f>
        <v>59.079545623157564</v>
      </c>
      <c r="D35" s="4">
        <f t="shared" ca="1" si="46"/>
        <v>35.800110706070619</v>
      </c>
      <c r="E35" s="4">
        <f t="shared" ca="1" si="46"/>
        <v>22.366528251580949</v>
      </c>
      <c r="F35" s="4">
        <f t="shared" ca="1" si="46"/>
        <v>14.590085681787683</v>
      </c>
      <c r="G35" s="4">
        <f t="shared" ca="1" si="46"/>
        <v>10.001164279875079</v>
      </c>
      <c r="H35" s="4">
        <f t="shared" ca="1" si="46"/>
        <v>7.0417414774564797</v>
      </c>
      <c r="I35" s="4">
        <f t="shared" ca="1" si="46"/>
        <v>5.1152778277724558</v>
      </c>
      <c r="J35" s="4">
        <f t="shared" ca="1" si="46"/>
        <v>4.2021226596779702</v>
      </c>
      <c r="K35" s="4">
        <f t="shared" ca="1" si="46"/>
        <v>3.1546516259237389</v>
      </c>
      <c r="L35" s="4">
        <f t="shared" ca="1" si="46"/>
        <v>2.3961368934128924</v>
      </c>
      <c r="N35" t="s">
        <v>735</v>
      </c>
      <c r="O35" t="s">
        <v>736</v>
      </c>
      <c r="P35" s="4">
        <f t="shared" ref="P35:Y35" ca="1" si="47">P34/P16</f>
        <v>137.475682474287</v>
      </c>
      <c r="Q35" s="4">
        <f t="shared" ca="1" si="47"/>
        <v>85.93630859562046</v>
      </c>
      <c r="R35" s="4">
        <f t="shared" ca="1" si="47"/>
        <v>54.915544055810201</v>
      </c>
      <c r="S35" s="4">
        <f t="shared" ca="1" si="47"/>
        <v>36.323679835174751</v>
      </c>
      <c r="T35" s="4">
        <f t="shared" ca="1" si="47"/>
        <v>24.831972961761476</v>
      </c>
      <c r="U35" s="4">
        <f t="shared" ca="1" si="47"/>
        <v>17.399854422647202</v>
      </c>
      <c r="V35" s="4">
        <f t="shared" ca="1" si="47"/>
        <v>12.499763231598481</v>
      </c>
      <c r="W35" s="4">
        <f t="shared" ca="1" si="47"/>
        <v>9.9875439801412824</v>
      </c>
      <c r="X35" s="4">
        <f t="shared" ca="1" si="47"/>
        <v>7.3453612735240226</v>
      </c>
      <c r="Y35" s="4">
        <f t="shared" ca="1" si="47"/>
        <v>5.4378299074636809</v>
      </c>
    </row>
    <row r="36" spans="1:25" x14ac:dyDescent="0.2">
      <c r="C36" s="256"/>
      <c r="D36" s="256"/>
      <c r="E36" s="256"/>
      <c r="F36" s="256"/>
      <c r="G36" s="256"/>
      <c r="H36" s="256"/>
      <c r="I36" s="256"/>
      <c r="J36" s="256"/>
      <c r="K36" s="256"/>
      <c r="L36" s="256"/>
      <c r="P36" s="256"/>
      <c r="Q36" s="256"/>
      <c r="R36" s="256"/>
      <c r="S36" s="256"/>
      <c r="T36" s="256"/>
      <c r="U36" s="256"/>
      <c r="V36" s="256"/>
      <c r="W36" s="256"/>
      <c r="X36" s="256"/>
      <c r="Y36" s="256"/>
    </row>
    <row r="37" spans="1:25" ht="17.25" x14ac:dyDescent="0.25">
      <c r="A37" s="385" t="s">
        <v>746</v>
      </c>
      <c r="B37" t="s">
        <v>641</v>
      </c>
      <c r="N37" s="385" t="s">
        <v>746</v>
      </c>
      <c r="O37" t="s">
        <v>641</v>
      </c>
    </row>
    <row r="38" spans="1:25" x14ac:dyDescent="0.2">
      <c r="A38" t="s">
        <v>642</v>
      </c>
      <c r="B38" t="s">
        <v>740</v>
      </c>
      <c r="C38" s="418">
        <f>Chem!$E$43*10^-4</f>
        <v>2E-3</v>
      </c>
      <c r="D38" s="418">
        <f>Chem!$E$43*10^-4</f>
        <v>2E-3</v>
      </c>
      <c r="E38" s="418">
        <f>Chem!$E$43*10^-4</f>
        <v>2E-3</v>
      </c>
      <c r="F38" s="418">
        <f>Chem!$E$43*10^-4</f>
        <v>2E-3</v>
      </c>
      <c r="G38" s="418">
        <f>Chem!$E$43*10^-4</f>
        <v>2E-3</v>
      </c>
      <c r="H38" s="418">
        <f>Chem!$E$43*10^-4</f>
        <v>2E-3</v>
      </c>
      <c r="I38" s="418">
        <f>Chem!$E$43*10^-4</f>
        <v>2E-3</v>
      </c>
      <c r="J38" s="418">
        <f>Chem!$E$43*10^-4</f>
        <v>2E-3</v>
      </c>
      <c r="K38" s="418">
        <f>Chem!$E$43*10^-4</f>
        <v>2E-3</v>
      </c>
      <c r="L38" s="418">
        <f>Chem!$E$43*10^-4</f>
        <v>2E-3</v>
      </c>
      <c r="N38" t="s">
        <v>642</v>
      </c>
      <c r="O38" t="s">
        <v>740</v>
      </c>
      <c r="P38" s="256">
        <f t="shared" ref="P38:U39" si="48">C38</f>
        <v>2E-3</v>
      </c>
      <c r="Q38" s="256">
        <f t="shared" si="48"/>
        <v>2E-3</v>
      </c>
      <c r="R38" s="256">
        <f t="shared" si="48"/>
        <v>2E-3</v>
      </c>
      <c r="S38" s="256">
        <f t="shared" si="48"/>
        <v>2E-3</v>
      </c>
      <c r="T38" s="256">
        <f t="shared" si="48"/>
        <v>2E-3</v>
      </c>
      <c r="U38" s="256">
        <f t="shared" si="48"/>
        <v>2E-3</v>
      </c>
      <c r="V38" s="256">
        <f t="shared" ref="V38:Y39" si="49">I38</f>
        <v>2E-3</v>
      </c>
      <c r="W38" s="256">
        <f t="shared" si="49"/>
        <v>2E-3</v>
      </c>
      <c r="X38" s="256">
        <f t="shared" si="49"/>
        <v>2E-3</v>
      </c>
      <c r="Y38" s="256">
        <f t="shared" si="49"/>
        <v>2E-3</v>
      </c>
    </row>
    <row r="39" spans="1:25" ht="15" x14ac:dyDescent="0.25">
      <c r="A39" t="s">
        <v>643</v>
      </c>
      <c r="B39" t="s">
        <v>644</v>
      </c>
      <c r="C39" s="256">
        <v>1E-4</v>
      </c>
      <c r="D39" s="212">
        <f>C39*1.7</f>
        <v>1.7000000000000001E-4</v>
      </c>
      <c r="E39" s="212">
        <f t="shared" ref="E39:L39" si="50">D39*1.7</f>
        <v>2.8900000000000003E-4</v>
      </c>
      <c r="F39" s="212">
        <f t="shared" si="50"/>
        <v>4.9130000000000007E-4</v>
      </c>
      <c r="G39" s="212">
        <f t="shared" si="50"/>
        <v>8.3521000000000008E-4</v>
      </c>
      <c r="H39" s="212">
        <f t="shared" si="50"/>
        <v>1.4198570000000001E-3</v>
      </c>
      <c r="I39" s="212">
        <f t="shared" si="50"/>
        <v>2.4137568999999998E-3</v>
      </c>
      <c r="J39" s="212">
        <f t="shared" si="50"/>
        <v>4.1033867299999994E-3</v>
      </c>
      <c r="K39" s="212">
        <f t="shared" si="50"/>
        <v>6.9757574409999986E-3</v>
      </c>
      <c r="L39" s="212">
        <f t="shared" si="50"/>
        <v>1.1858787649699998E-2</v>
      </c>
      <c r="N39" t="s">
        <v>643</v>
      </c>
      <c r="O39" t="s">
        <v>644</v>
      </c>
      <c r="P39" s="212">
        <f t="shared" si="48"/>
        <v>1E-4</v>
      </c>
      <c r="Q39" s="212">
        <f t="shared" si="48"/>
        <v>1.7000000000000001E-4</v>
      </c>
      <c r="R39" s="212">
        <f t="shared" si="48"/>
        <v>2.8900000000000003E-4</v>
      </c>
      <c r="S39" s="212">
        <f t="shared" si="48"/>
        <v>4.9130000000000007E-4</v>
      </c>
      <c r="T39" s="212">
        <f t="shared" si="48"/>
        <v>8.3521000000000008E-4</v>
      </c>
      <c r="U39" s="212">
        <f t="shared" si="48"/>
        <v>1.4198570000000001E-3</v>
      </c>
      <c r="V39" s="212">
        <f t="shared" si="49"/>
        <v>2.4137568999999998E-3</v>
      </c>
      <c r="W39" s="212">
        <f t="shared" si="49"/>
        <v>4.1033867299999994E-3</v>
      </c>
      <c r="X39" s="212">
        <f t="shared" si="49"/>
        <v>6.9757574409999986E-3</v>
      </c>
      <c r="Y39" s="212">
        <f t="shared" si="49"/>
        <v>1.1858787649699998E-2</v>
      </c>
    </row>
    <row r="40" spans="1:25" ht="15" x14ac:dyDescent="0.25">
      <c r="A40" t="s">
        <v>734</v>
      </c>
      <c r="B40" t="s">
        <v>720</v>
      </c>
      <c r="C40" s="66">
        <f t="shared" ref="C40:L40" ca="1" si="51">C41*C$14</f>
        <v>6.0207333641087324E-2</v>
      </c>
      <c r="D40" s="66">
        <f t="shared" ca="1" si="51"/>
        <v>6.1547570446093991E-2</v>
      </c>
      <c r="E40" s="66">
        <f t="shared" ca="1" si="51"/>
        <v>6.014354606763006E-2</v>
      </c>
      <c r="F40" s="66">
        <f t="shared" ca="1" si="51"/>
        <v>5.5338330096811418E-2</v>
      </c>
      <c r="G40" s="66">
        <f t="shared" ca="1" si="51"/>
        <v>4.7591020726594012E-2</v>
      </c>
      <c r="H40" s="66">
        <f t="shared" ca="1" si="51"/>
        <v>3.9466501798941983E-2</v>
      </c>
      <c r="I40" s="66">
        <f t="shared" ca="1" si="51"/>
        <v>3.1360183117172515E-2</v>
      </c>
      <c r="J40" s="66">
        <f t="shared" ca="1" si="51"/>
        <v>2.0989653164553087E-2</v>
      </c>
      <c r="K40" s="66">
        <f t="shared" ca="1" si="51"/>
        <v>1.5878134638567409E-2</v>
      </c>
      <c r="L40" s="66">
        <f t="shared" ca="1" si="51"/>
        <v>1.1788080592952933E-2</v>
      </c>
      <c r="N40" t="s">
        <v>734</v>
      </c>
      <c r="O40" t="s">
        <v>720</v>
      </c>
      <c r="P40" s="66">
        <f t="shared" ref="P40:Y40" ca="1" si="52">P41*P$16</f>
        <v>1.5839433887025002E-2</v>
      </c>
      <c r="Q40" s="66">
        <f t="shared" ca="1" si="52"/>
        <v>1.6147112780022402E-2</v>
      </c>
      <c r="R40" s="66">
        <f t="shared" ca="1" si="52"/>
        <v>1.5715742207435397E-2</v>
      </c>
      <c r="S40" s="66">
        <f t="shared" ca="1" si="52"/>
        <v>1.4381553520635696E-2</v>
      </c>
      <c r="T40" s="66">
        <f t="shared" ca="1" si="52"/>
        <v>1.2447298507917409E-2</v>
      </c>
      <c r="U40" s="66">
        <f t="shared" ca="1" si="52"/>
        <v>1.0338906400951912E-2</v>
      </c>
      <c r="V40" s="66">
        <f t="shared" ca="1" si="52"/>
        <v>8.2309806032460856E-3</v>
      </c>
      <c r="W40" s="66">
        <f t="shared" ca="1" si="52"/>
        <v>5.410493753572547E-3</v>
      </c>
      <c r="X40" s="66">
        <f t="shared" ca="1" si="52"/>
        <v>4.0884451261867395E-3</v>
      </c>
      <c r="Y40" s="66">
        <f t="shared" ca="1" si="52"/>
        <v>3.0305258640343597E-3</v>
      </c>
    </row>
    <row r="41" spans="1:25" ht="17.25" x14ac:dyDescent="0.25">
      <c r="A41" t="s">
        <v>735</v>
      </c>
      <c r="B41" t="s">
        <v>736</v>
      </c>
      <c r="C41" s="20">
        <f t="shared" ref="C41:L41" si="53">C38/C39</f>
        <v>20</v>
      </c>
      <c r="D41" s="20">
        <f t="shared" si="53"/>
        <v>11.76470588235294</v>
      </c>
      <c r="E41" s="20">
        <f t="shared" si="53"/>
        <v>6.9204152249134943</v>
      </c>
      <c r="F41" s="20">
        <f t="shared" si="53"/>
        <v>4.0708324852432316</v>
      </c>
      <c r="G41" s="20">
        <f t="shared" si="53"/>
        <v>2.3946073442607245</v>
      </c>
      <c r="H41" s="20">
        <f t="shared" si="53"/>
        <v>1.4085925554474852</v>
      </c>
      <c r="I41" s="20">
        <f t="shared" si="53"/>
        <v>0.82858385614557961</v>
      </c>
      <c r="J41" s="20">
        <f t="shared" si="53"/>
        <v>0.4874022683209292</v>
      </c>
      <c r="K41" s="20">
        <f t="shared" si="53"/>
        <v>0.28670721665937016</v>
      </c>
      <c r="L41" s="20">
        <f t="shared" si="53"/>
        <v>0.16865130391727656</v>
      </c>
      <c r="N41" t="s">
        <v>735</v>
      </c>
      <c r="O41" t="s">
        <v>736</v>
      </c>
      <c r="P41" s="20">
        <f t="shared" ref="P41:Y41" si="54">P38/P39</f>
        <v>20</v>
      </c>
      <c r="Q41" s="20">
        <f t="shared" si="54"/>
        <v>11.76470588235294</v>
      </c>
      <c r="R41" s="20">
        <f t="shared" si="54"/>
        <v>6.9204152249134943</v>
      </c>
      <c r="S41" s="20">
        <f t="shared" si="54"/>
        <v>4.0708324852432316</v>
      </c>
      <c r="T41" s="20">
        <f t="shared" si="54"/>
        <v>2.3946073442607245</v>
      </c>
      <c r="U41" s="20">
        <f t="shared" si="54"/>
        <v>1.4085925554474852</v>
      </c>
      <c r="V41" s="20">
        <f t="shared" si="54"/>
        <v>0.82858385614557961</v>
      </c>
      <c r="W41" s="20">
        <f t="shared" si="54"/>
        <v>0.4874022683209292</v>
      </c>
      <c r="X41" s="20">
        <f t="shared" si="54"/>
        <v>0.28670721665937016</v>
      </c>
      <c r="Y41" s="20">
        <f t="shared" si="54"/>
        <v>0.16865130391727656</v>
      </c>
    </row>
    <row r="42" spans="1:25" x14ac:dyDescent="0.2">
      <c r="C42" s="256"/>
      <c r="D42" s="256"/>
      <c r="E42" s="256"/>
      <c r="F42" s="256"/>
      <c r="G42" s="256"/>
      <c r="H42" s="256"/>
      <c r="I42" s="256"/>
      <c r="J42" s="256"/>
      <c r="K42" s="256"/>
      <c r="L42" s="256"/>
      <c r="P42" s="256"/>
      <c r="Q42" s="256"/>
      <c r="R42" s="256"/>
      <c r="S42" s="256"/>
      <c r="T42" s="256"/>
      <c r="U42" s="256"/>
      <c r="V42" s="256"/>
      <c r="W42" s="256"/>
      <c r="X42" s="256"/>
      <c r="Y42" s="256"/>
    </row>
    <row r="43" spans="1:25" ht="15" x14ac:dyDescent="0.25">
      <c r="A43" s="385" t="s">
        <v>645</v>
      </c>
      <c r="B43" t="s">
        <v>646</v>
      </c>
      <c r="C43" s="256"/>
      <c r="D43" s="256"/>
      <c r="E43" s="256"/>
      <c r="F43" s="256"/>
      <c r="G43" s="256"/>
      <c r="H43" s="256"/>
      <c r="I43" s="256"/>
      <c r="J43" s="256"/>
      <c r="K43" s="256"/>
      <c r="L43" s="256"/>
      <c r="N43" s="385" t="s">
        <v>645</v>
      </c>
      <c r="O43" t="s">
        <v>646</v>
      </c>
      <c r="P43" s="256"/>
      <c r="Q43" s="256"/>
      <c r="R43" s="256"/>
      <c r="S43" s="256"/>
      <c r="T43" s="256"/>
      <c r="U43" s="256"/>
      <c r="V43" s="256"/>
      <c r="W43" s="256"/>
      <c r="X43" s="256"/>
      <c r="Y43" s="256"/>
    </row>
    <row r="44" spans="1:25" x14ac:dyDescent="0.2">
      <c r="A44" t="s">
        <v>741</v>
      </c>
      <c r="C44" s="256" t="s">
        <v>742</v>
      </c>
      <c r="D44" s="256" t="s">
        <v>742</v>
      </c>
      <c r="E44" s="256" t="s">
        <v>742</v>
      </c>
      <c r="F44" s="256" t="s">
        <v>742</v>
      </c>
      <c r="G44" s="256" t="s">
        <v>742</v>
      </c>
      <c r="H44" s="256" t="s">
        <v>742</v>
      </c>
      <c r="I44" s="256" t="s">
        <v>742</v>
      </c>
      <c r="J44" s="256" t="s">
        <v>742</v>
      </c>
      <c r="K44" s="256" t="s">
        <v>742</v>
      </c>
      <c r="L44" s="256" t="s">
        <v>742</v>
      </c>
      <c r="N44" t="s">
        <v>741</v>
      </c>
      <c r="P44" s="256" t="s">
        <v>742</v>
      </c>
      <c r="Q44" s="256" t="s">
        <v>742</v>
      </c>
      <c r="R44" s="256" t="s">
        <v>742</v>
      </c>
      <c r="S44" s="256" t="s">
        <v>742</v>
      </c>
      <c r="T44" s="256" t="s">
        <v>742</v>
      </c>
      <c r="U44" s="256" t="s">
        <v>742</v>
      </c>
      <c r="V44" s="256" t="s">
        <v>742</v>
      </c>
      <c r="W44" s="256" t="s">
        <v>742</v>
      </c>
      <c r="X44" s="256" t="s">
        <v>742</v>
      </c>
      <c r="Y44" s="256" t="s">
        <v>742</v>
      </c>
    </row>
    <row r="45" spans="1:25" ht="18.75" x14ac:dyDescent="0.35">
      <c r="A45" t="s">
        <v>743</v>
      </c>
      <c r="B45" t="s">
        <v>726</v>
      </c>
      <c r="C45" s="372">
        <f>C32</f>
        <v>1E-4</v>
      </c>
      <c r="D45" s="372">
        <f t="shared" ref="D45:L45" si="55">D32</f>
        <v>1.45E-4</v>
      </c>
      <c r="E45" s="372">
        <f t="shared" si="55"/>
        <v>2.1024999999999999E-4</v>
      </c>
      <c r="F45" s="372">
        <f t="shared" si="55"/>
        <v>3.0486249999999999E-4</v>
      </c>
      <c r="G45" s="372">
        <f t="shared" si="55"/>
        <v>4.4205062499999998E-4</v>
      </c>
      <c r="H45" s="372">
        <f t="shared" si="55"/>
        <v>6.4097340624999998E-4</v>
      </c>
      <c r="I45" s="372">
        <f t="shared" si="55"/>
        <v>9.2941143906249989E-4</v>
      </c>
      <c r="J45" s="372">
        <f t="shared" si="55"/>
        <v>1.3476465866406248E-3</v>
      </c>
      <c r="K45" s="372">
        <f t="shared" si="55"/>
        <v>1.9540875506289059E-3</v>
      </c>
      <c r="L45" s="372">
        <f t="shared" si="55"/>
        <v>2.8334269484119137E-3</v>
      </c>
      <c r="N45" t="s">
        <v>743</v>
      </c>
      <c r="O45" t="s">
        <v>726</v>
      </c>
      <c r="P45" s="372">
        <f t="shared" ref="P45:U46" si="56">C45</f>
        <v>1E-4</v>
      </c>
      <c r="Q45" s="372">
        <f t="shared" si="56"/>
        <v>1.45E-4</v>
      </c>
      <c r="R45" s="372">
        <f t="shared" si="56"/>
        <v>2.1024999999999999E-4</v>
      </c>
      <c r="S45" s="372">
        <f t="shared" si="56"/>
        <v>3.0486249999999999E-4</v>
      </c>
      <c r="T45" s="372">
        <f t="shared" si="56"/>
        <v>4.4205062499999998E-4</v>
      </c>
      <c r="U45" s="372">
        <f t="shared" si="56"/>
        <v>6.4097340624999998E-4</v>
      </c>
      <c r="V45" s="372">
        <f t="shared" ref="V45:Y46" si="57">I45</f>
        <v>9.2941143906249989E-4</v>
      </c>
      <c r="W45" s="372">
        <f t="shared" si="57"/>
        <v>1.3476465866406248E-3</v>
      </c>
      <c r="X45" s="372">
        <f t="shared" si="57"/>
        <v>1.9540875506289059E-3</v>
      </c>
      <c r="Y45" s="372">
        <f t="shared" si="57"/>
        <v>2.8334269484119137E-3</v>
      </c>
    </row>
    <row r="46" spans="1:25" ht="15" x14ac:dyDescent="0.25">
      <c r="A46" t="s">
        <v>744</v>
      </c>
      <c r="C46" s="256">
        <v>0.5</v>
      </c>
      <c r="D46" s="256">
        <v>0.5</v>
      </c>
      <c r="E46" s="256">
        <v>0.5</v>
      </c>
      <c r="F46" s="256">
        <v>0.5</v>
      </c>
      <c r="G46" s="256">
        <v>0.5</v>
      </c>
      <c r="H46" s="256">
        <v>0.5</v>
      </c>
      <c r="I46" s="256">
        <v>0.5</v>
      </c>
      <c r="J46" s="256">
        <v>0.5</v>
      </c>
      <c r="K46" s="256">
        <v>0.5</v>
      </c>
      <c r="L46" s="256">
        <v>0.5</v>
      </c>
      <c r="N46" t="s">
        <v>744</v>
      </c>
      <c r="P46" s="256">
        <f t="shared" si="56"/>
        <v>0.5</v>
      </c>
      <c r="Q46" s="256">
        <f t="shared" si="56"/>
        <v>0.5</v>
      </c>
      <c r="R46" s="256">
        <f t="shared" si="56"/>
        <v>0.5</v>
      </c>
      <c r="S46" s="256">
        <f t="shared" si="56"/>
        <v>0.5</v>
      </c>
      <c r="T46" s="256">
        <f t="shared" si="56"/>
        <v>0.5</v>
      </c>
      <c r="U46" s="256">
        <f t="shared" si="56"/>
        <v>0.5</v>
      </c>
      <c r="V46" s="256">
        <f t="shared" si="57"/>
        <v>0.5</v>
      </c>
      <c r="W46" s="256">
        <f t="shared" si="57"/>
        <v>0.5</v>
      </c>
      <c r="X46" s="256">
        <f t="shared" si="57"/>
        <v>0.5</v>
      </c>
      <c r="Y46" s="256">
        <f t="shared" si="57"/>
        <v>0.5</v>
      </c>
    </row>
    <row r="47" spans="1:25" ht="15" x14ac:dyDescent="0.25">
      <c r="A47" t="s">
        <v>734</v>
      </c>
      <c r="B47" t="s">
        <v>720</v>
      </c>
      <c r="C47" s="20">
        <f t="shared" ref="C47:L47" ca="1" si="58">8.31443*303/(C46*96485.3)*ASINH(C$14/(2*C45))</f>
        <v>0.17785109573486438</v>
      </c>
      <c r="D47" s="20">
        <f t="shared" ca="1" si="58"/>
        <v>0.18728983603108684</v>
      </c>
      <c r="E47" s="20">
        <f t="shared" ca="1" si="58"/>
        <v>0.19438173556829072</v>
      </c>
      <c r="F47" s="20">
        <f t="shared" ca="1" si="58"/>
        <v>0.19833559364732425</v>
      </c>
      <c r="G47" s="20">
        <f t="shared" ca="1" si="58"/>
        <v>0.19876562129251679</v>
      </c>
      <c r="H47" s="20">
        <f t="shared" ca="1" si="58"/>
        <v>0.19729829013573941</v>
      </c>
      <c r="I47" s="20">
        <f t="shared" ca="1" si="58"/>
        <v>0.19360267302380565</v>
      </c>
      <c r="J47" s="20">
        <f t="shared" ca="1" si="58"/>
        <v>0.1809616058731062</v>
      </c>
      <c r="K47" s="20">
        <f t="shared" ca="1" si="58"/>
        <v>0.17470778670250006</v>
      </c>
      <c r="L47" s="20">
        <f t="shared" ca="1" si="58"/>
        <v>0.16748079709572616</v>
      </c>
      <c r="N47" t="s">
        <v>734</v>
      </c>
      <c r="O47" t="s">
        <v>720</v>
      </c>
      <c r="P47" s="20">
        <f t="shared" ref="P47:Y47" ca="1" si="59">8.31443*303/(P46*96485.3)*ASINH(P$16/(2*P45))</f>
        <v>0.10887684918125555</v>
      </c>
      <c r="Q47" s="20">
        <f t="shared" ca="1" si="59"/>
        <v>0.11794797767734483</v>
      </c>
      <c r="R47" s="20">
        <f t="shared" ca="1" si="59"/>
        <v>0.12470906809973421</v>
      </c>
      <c r="S47" s="20">
        <f t="shared" ca="1" si="59"/>
        <v>0.12832533579057073</v>
      </c>
      <c r="T47" s="20">
        <f t="shared" ca="1" si="59"/>
        <v>0.1290779387010538</v>
      </c>
      <c r="U47" s="20">
        <f t="shared" ca="1" si="59"/>
        <v>0.12771291852297839</v>
      </c>
      <c r="V47" s="20">
        <f t="shared" ca="1" si="59"/>
        <v>0.12417006189700501</v>
      </c>
      <c r="W47" s="20">
        <f t="shared" ca="1" si="59"/>
        <v>0.11086847113830946</v>
      </c>
      <c r="X47" s="20">
        <f t="shared" ca="1" si="59"/>
        <v>0.10474485731030389</v>
      </c>
      <c r="Y47" s="20">
        <f t="shared" ca="1" si="59"/>
        <v>9.7713351726420331E-2</v>
      </c>
    </row>
    <row r="48" spans="1:25" ht="17.25" x14ac:dyDescent="0.25">
      <c r="A48" t="s">
        <v>735</v>
      </c>
      <c r="B48" t="s">
        <v>736</v>
      </c>
      <c r="C48" s="4">
        <f t="shared" ref="C48:L48" ca="1" si="60">C47/C$14</f>
        <v>59.079545623157564</v>
      </c>
      <c r="D48" s="4">
        <f t="shared" ca="1" si="60"/>
        <v>35.800110706070619</v>
      </c>
      <c r="E48" s="4">
        <f t="shared" ca="1" si="60"/>
        <v>22.366528251580949</v>
      </c>
      <c r="F48" s="4">
        <f t="shared" ca="1" si="60"/>
        <v>14.590085681787683</v>
      </c>
      <c r="G48" s="4">
        <f t="shared" ca="1" si="60"/>
        <v>10.001164279875079</v>
      </c>
      <c r="H48" s="4">
        <f t="shared" ca="1" si="60"/>
        <v>7.0417414774564797</v>
      </c>
      <c r="I48" s="4">
        <f t="shared" ca="1" si="60"/>
        <v>5.1152778277724558</v>
      </c>
      <c r="J48" s="4">
        <f t="shared" ca="1" si="60"/>
        <v>4.2021226596779702</v>
      </c>
      <c r="K48" s="4">
        <f t="shared" ca="1" si="60"/>
        <v>3.1546516259237389</v>
      </c>
      <c r="L48" s="4">
        <f t="shared" ca="1" si="60"/>
        <v>2.3961368934128924</v>
      </c>
      <c r="N48" t="s">
        <v>735</v>
      </c>
      <c r="O48" t="s">
        <v>736</v>
      </c>
      <c r="P48" s="4">
        <f t="shared" ref="P48:Y48" ca="1" si="61">P47/P$16</f>
        <v>137.475682474287</v>
      </c>
      <c r="Q48" s="4">
        <f t="shared" ca="1" si="61"/>
        <v>85.93630859562046</v>
      </c>
      <c r="R48" s="4">
        <f t="shared" ca="1" si="61"/>
        <v>54.915544055810201</v>
      </c>
      <c r="S48" s="4">
        <f t="shared" ca="1" si="61"/>
        <v>36.323679835174751</v>
      </c>
      <c r="T48" s="4">
        <f t="shared" ca="1" si="61"/>
        <v>24.831972961761476</v>
      </c>
      <c r="U48" s="4">
        <f t="shared" ca="1" si="61"/>
        <v>17.399854422647202</v>
      </c>
      <c r="V48" s="4">
        <f t="shared" ca="1" si="61"/>
        <v>12.499763231598481</v>
      </c>
      <c r="W48" s="4">
        <f t="shared" ca="1" si="61"/>
        <v>9.9875439801412824</v>
      </c>
      <c r="X48" s="4">
        <f t="shared" ca="1" si="61"/>
        <v>7.3453612735240226</v>
      </c>
      <c r="Y48" s="4">
        <f t="shared" ca="1" si="61"/>
        <v>5.4378299074636809</v>
      </c>
    </row>
    <row r="49" spans="1:25" x14ac:dyDescent="0.2">
      <c r="C49" s="20"/>
      <c r="D49" s="256"/>
      <c r="E49" s="256"/>
      <c r="F49" s="256"/>
      <c r="G49" s="256"/>
      <c r="H49" s="256"/>
      <c r="I49" s="256"/>
      <c r="J49" s="256"/>
      <c r="K49" s="256"/>
      <c r="L49" s="256"/>
      <c r="P49" s="212"/>
      <c r="Q49" s="212"/>
      <c r="R49" s="212"/>
      <c r="S49" s="212"/>
      <c r="T49" s="212"/>
      <c r="U49" s="212"/>
      <c r="V49" s="212"/>
      <c r="W49" s="212"/>
      <c r="X49" s="212"/>
      <c r="Y49" s="212"/>
    </row>
    <row r="50" spans="1:25" ht="15" x14ac:dyDescent="0.25">
      <c r="A50" s="385" t="s">
        <v>647</v>
      </c>
      <c r="B50" t="s">
        <v>891</v>
      </c>
      <c r="C50" s="256"/>
      <c r="D50" s="256"/>
      <c r="E50" s="256"/>
      <c r="F50" s="256"/>
      <c r="G50" s="256"/>
      <c r="H50" s="256"/>
      <c r="I50" s="256"/>
      <c r="J50" s="256"/>
      <c r="K50" s="256"/>
      <c r="L50" s="256"/>
      <c r="N50" s="385" t="s">
        <v>647</v>
      </c>
      <c r="O50" t="s">
        <v>648</v>
      </c>
      <c r="P50" s="256"/>
      <c r="Q50" s="256"/>
      <c r="R50" s="256"/>
      <c r="S50" s="256"/>
      <c r="T50" s="256"/>
      <c r="U50" s="256"/>
      <c r="V50" s="256"/>
      <c r="W50" s="256"/>
      <c r="X50" s="256"/>
      <c r="Y50" s="256"/>
    </row>
    <row r="51" spans="1:25" ht="17.25" x14ac:dyDescent="0.25">
      <c r="A51" s="365" t="s">
        <v>649</v>
      </c>
      <c r="B51" s="366" t="s">
        <v>747</v>
      </c>
      <c r="C51" s="420">
        <f>Chem!$E$7*Chem!$E$20</f>
        <v>2698.08</v>
      </c>
      <c r="D51" s="420">
        <f>Chem!$E$7*Chem!$E$20</f>
        <v>2698.08</v>
      </c>
      <c r="E51" s="420">
        <f>Chem!$E$7*Chem!$E$20</f>
        <v>2698.08</v>
      </c>
      <c r="F51" s="420">
        <f>Chem!$E$7*Chem!$E$20</f>
        <v>2698.08</v>
      </c>
      <c r="G51" s="420">
        <f>Chem!$E$7*Chem!$E$20</f>
        <v>2698.08</v>
      </c>
      <c r="H51" s="420">
        <f>Chem!$E$7*Chem!$E$20</f>
        <v>2698.08</v>
      </c>
      <c r="I51" s="420">
        <f>Chem!$E$7*Chem!$E$20</f>
        <v>2698.08</v>
      </c>
      <c r="J51" s="420">
        <f>Chem!$E$7*Chem!$E$20</f>
        <v>2698.08</v>
      </c>
      <c r="K51" s="420">
        <f>Chem!$E$7*Chem!$E$20</f>
        <v>2698.08</v>
      </c>
      <c r="L51" s="420">
        <f>Chem!$E$7*Chem!$E$20</f>
        <v>2698.08</v>
      </c>
      <c r="N51" s="365" t="s">
        <v>649</v>
      </c>
      <c r="O51" s="366" t="s">
        <v>747</v>
      </c>
      <c r="P51" s="256">
        <f t="shared" ref="P51:U51" si="62">C51</f>
        <v>2698.08</v>
      </c>
      <c r="Q51" s="256">
        <f t="shared" si="62"/>
        <v>2698.08</v>
      </c>
      <c r="R51" s="256">
        <f t="shared" si="62"/>
        <v>2698.08</v>
      </c>
      <c r="S51" s="256">
        <f t="shared" si="62"/>
        <v>2698.08</v>
      </c>
      <c r="T51" s="256">
        <f t="shared" si="62"/>
        <v>2698.08</v>
      </c>
      <c r="U51" s="256">
        <f t="shared" si="62"/>
        <v>2698.08</v>
      </c>
      <c r="V51" s="256">
        <f t="shared" ref="V51:Y59" si="63">I51</f>
        <v>2698.08</v>
      </c>
      <c r="W51" s="256">
        <f t="shared" si="63"/>
        <v>2698.08</v>
      </c>
      <c r="X51" s="256">
        <f t="shared" si="63"/>
        <v>2698.08</v>
      </c>
      <c r="Y51" s="256">
        <f t="shared" si="63"/>
        <v>2698.08</v>
      </c>
    </row>
    <row r="52" spans="1:25" ht="17.25" x14ac:dyDescent="0.25">
      <c r="A52" s="365" t="s">
        <v>748</v>
      </c>
      <c r="B52" t="s">
        <v>749</v>
      </c>
      <c r="C52" s="421">
        <v>0.6</v>
      </c>
      <c r="D52" s="421">
        <v>0.6</v>
      </c>
      <c r="E52" s="421">
        <v>0.6</v>
      </c>
      <c r="F52" s="421">
        <v>0.6</v>
      </c>
      <c r="G52" s="421">
        <v>0.6</v>
      </c>
      <c r="H52" s="421">
        <v>0.6</v>
      </c>
      <c r="I52" s="421">
        <v>0.6</v>
      </c>
      <c r="J52" s="421">
        <v>0.6</v>
      </c>
      <c r="K52" s="421">
        <v>0.6</v>
      </c>
      <c r="L52" s="421">
        <v>0.6</v>
      </c>
      <c r="N52" s="365" t="s">
        <v>748</v>
      </c>
      <c r="O52" t="s">
        <v>749</v>
      </c>
      <c r="P52" s="256">
        <f t="shared" ref="P52:P59" si="64">C52</f>
        <v>0.6</v>
      </c>
      <c r="Q52" s="256">
        <f t="shared" ref="Q52:U59" si="65">D52</f>
        <v>0.6</v>
      </c>
      <c r="R52" s="256">
        <f t="shared" si="65"/>
        <v>0.6</v>
      </c>
      <c r="S52" s="256">
        <f t="shared" si="65"/>
        <v>0.6</v>
      </c>
      <c r="T52" s="256">
        <f t="shared" si="65"/>
        <v>0.6</v>
      </c>
      <c r="U52" s="256">
        <f t="shared" si="65"/>
        <v>0.6</v>
      </c>
      <c r="V52" s="256">
        <f t="shared" si="63"/>
        <v>0.6</v>
      </c>
      <c r="W52" s="256">
        <f t="shared" si="63"/>
        <v>0.6</v>
      </c>
      <c r="X52" s="256">
        <f t="shared" si="63"/>
        <v>0.6</v>
      </c>
      <c r="Y52" s="256">
        <f t="shared" si="63"/>
        <v>0.6</v>
      </c>
    </row>
    <row r="53" spans="1:25" ht="17.25" x14ac:dyDescent="0.25">
      <c r="A53" t="s">
        <v>750</v>
      </c>
      <c r="B53" t="s">
        <v>749</v>
      </c>
      <c r="C53" s="421">
        <f>Chem!$E$18/100</f>
        <v>0.25</v>
      </c>
      <c r="D53" s="421">
        <f>Chem!$E$18/100</f>
        <v>0.25</v>
      </c>
      <c r="E53" s="421">
        <f>Chem!$E$18/100</f>
        <v>0.25</v>
      </c>
      <c r="F53" s="421">
        <f>Chem!$E$18/100</f>
        <v>0.25</v>
      </c>
      <c r="G53" s="421">
        <f>Chem!$E$18/100</f>
        <v>0.25</v>
      </c>
      <c r="H53" s="421">
        <f>Chem!$E$18/100</f>
        <v>0.25</v>
      </c>
      <c r="I53" s="421">
        <f>Chem!$E$18/100</f>
        <v>0.25</v>
      </c>
      <c r="J53" s="421">
        <f>Chem!$E$18/100</f>
        <v>0.25</v>
      </c>
      <c r="K53" s="421">
        <f>Chem!$E$18/100</f>
        <v>0.25</v>
      </c>
      <c r="L53" s="421">
        <f>Chem!$E$18/100</f>
        <v>0.25</v>
      </c>
      <c r="N53" t="s">
        <v>750</v>
      </c>
      <c r="O53" t="s">
        <v>749</v>
      </c>
      <c r="P53" s="256">
        <f t="shared" si="64"/>
        <v>0.25</v>
      </c>
      <c r="Q53" s="256">
        <f t="shared" si="65"/>
        <v>0.25</v>
      </c>
      <c r="R53" s="256">
        <f t="shared" si="65"/>
        <v>0.25</v>
      </c>
      <c r="S53" s="256">
        <f t="shared" si="65"/>
        <v>0.25</v>
      </c>
      <c r="T53" s="256">
        <f t="shared" si="65"/>
        <v>0.25</v>
      </c>
      <c r="U53" s="256">
        <f t="shared" si="65"/>
        <v>0.25</v>
      </c>
      <c r="V53" s="256">
        <f t="shared" si="63"/>
        <v>0.25</v>
      </c>
      <c r="W53" s="256">
        <f t="shared" si="63"/>
        <v>0.25</v>
      </c>
      <c r="X53" s="256">
        <f t="shared" si="63"/>
        <v>0.25</v>
      </c>
      <c r="Y53" s="256">
        <f t="shared" si="63"/>
        <v>0.25</v>
      </c>
    </row>
    <row r="54" spans="1:25" ht="17.25" x14ac:dyDescent="0.25">
      <c r="A54" t="s">
        <v>751</v>
      </c>
      <c r="B54" t="s">
        <v>749</v>
      </c>
      <c r="C54" s="421">
        <f>(Chem!$E$10+Chem!$E$11)/100</f>
        <v>0.1</v>
      </c>
      <c r="D54" s="421">
        <f>(Chem!$E$10+Chem!$E$11)/100</f>
        <v>0.1</v>
      </c>
      <c r="E54" s="421">
        <f>(Chem!$E$10+Chem!$E$11)/100</f>
        <v>0.1</v>
      </c>
      <c r="F54" s="421">
        <f>(Chem!$E$10+Chem!$E$11)/100</f>
        <v>0.1</v>
      </c>
      <c r="G54" s="421">
        <f>(Chem!$E$10+Chem!$E$11)/100</f>
        <v>0.1</v>
      </c>
      <c r="H54" s="421">
        <f>(Chem!$E$10+Chem!$E$11)/100</f>
        <v>0.1</v>
      </c>
      <c r="I54" s="421">
        <f>(Chem!$E$10+Chem!$E$11)/100</f>
        <v>0.1</v>
      </c>
      <c r="J54" s="421">
        <f>(Chem!$E$10+Chem!$E$11)/100</f>
        <v>0.1</v>
      </c>
      <c r="K54" s="421">
        <f>(Chem!$E$10+Chem!$E$11)/100</f>
        <v>0.1</v>
      </c>
      <c r="L54" s="421">
        <f>(Chem!$E$10+Chem!$E$11)/100</f>
        <v>0.1</v>
      </c>
      <c r="N54" t="s">
        <v>751</v>
      </c>
      <c r="O54" t="s">
        <v>749</v>
      </c>
      <c r="P54" s="256">
        <f t="shared" si="64"/>
        <v>0.1</v>
      </c>
      <c r="Q54" s="256">
        <f t="shared" si="65"/>
        <v>0.1</v>
      </c>
      <c r="R54" s="256">
        <f t="shared" si="65"/>
        <v>0.1</v>
      </c>
      <c r="S54" s="256">
        <f t="shared" si="65"/>
        <v>0.1</v>
      </c>
      <c r="T54" s="256">
        <f t="shared" si="65"/>
        <v>0.1</v>
      </c>
      <c r="U54" s="256">
        <f t="shared" si="65"/>
        <v>0.1</v>
      </c>
      <c r="V54" s="256">
        <f t="shared" si="63"/>
        <v>0.1</v>
      </c>
      <c r="W54" s="256">
        <f t="shared" si="63"/>
        <v>0.1</v>
      </c>
      <c r="X54" s="256">
        <f t="shared" si="63"/>
        <v>0.1</v>
      </c>
      <c r="Y54" s="256">
        <f t="shared" si="63"/>
        <v>0.1</v>
      </c>
    </row>
    <row r="55" spans="1:25" x14ac:dyDescent="0.2">
      <c r="A55" t="s">
        <v>739</v>
      </c>
      <c r="B55" t="s">
        <v>740</v>
      </c>
      <c r="C55" s="476">
        <f ca="1">C17/C51/C52</f>
        <v>2.4460965277363759E-3</v>
      </c>
      <c r="D55" s="66">
        <f t="shared" ref="D55:E55" ca="1" si="66">D17/D51/D52</f>
        <v>4.239139765752793E-3</v>
      </c>
      <c r="E55" s="66">
        <f t="shared" ca="1" si="66"/>
        <v>7.0140147468275432E-3</v>
      </c>
      <c r="F55" s="66">
        <f ca="1">F17/F51/F52</f>
        <v>1.0911551369690721E-2</v>
      </c>
      <c r="G55" s="66">
        <f t="shared" ref="G55" ca="1" si="67">G17/G51/G52</f>
        <v>1.6054793573578547E-2</v>
      </c>
      <c r="H55" s="66">
        <f ca="1">H17/H51/H52</f>
        <v>2.2670084879387896E-2</v>
      </c>
      <c r="I55" s="66">
        <f t="shared" ref="I55:L55" ca="1" si="68">I17/I51/I52</f>
        <v>3.0681673817857878E-2</v>
      </c>
      <c r="J55" s="66">
        <f t="shared" ca="1" si="68"/>
        <v>3.4285720795038832E-2</v>
      </c>
      <c r="K55" s="66">
        <f t="shared" ca="1" si="68"/>
        <v>4.4043668807747849E-2</v>
      </c>
      <c r="L55" s="66">
        <f t="shared" ca="1" si="68"/>
        <v>5.5499914352181746E-2</v>
      </c>
      <c r="M55" s="66"/>
      <c r="N55" t="s">
        <v>739</v>
      </c>
      <c r="O55" t="s">
        <v>740</v>
      </c>
      <c r="P55" s="212">
        <f ca="1">C55</f>
        <v>2.4460965277363759E-3</v>
      </c>
      <c r="Q55" s="474">
        <f t="shared" ca="1" si="65"/>
        <v>4.239139765752793E-3</v>
      </c>
      <c r="R55" s="474">
        <f t="shared" ca="1" si="65"/>
        <v>7.0140147468275432E-3</v>
      </c>
      <c r="S55" s="474">
        <f t="shared" ca="1" si="65"/>
        <v>1.0911551369690721E-2</v>
      </c>
      <c r="T55" s="474">
        <f t="shared" ca="1" si="65"/>
        <v>1.6054793573578547E-2</v>
      </c>
      <c r="U55" s="474">
        <f t="shared" ca="1" si="65"/>
        <v>2.2670084879387896E-2</v>
      </c>
      <c r="V55" s="474">
        <f t="shared" ca="1" si="63"/>
        <v>3.0681673817857878E-2</v>
      </c>
      <c r="W55" s="474">
        <f t="shared" ca="1" si="63"/>
        <v>3.4285720795038832E-2</v>
      </c>
      <c r="X55" s="474">
        <f t="shared" ca="1" si="63"/>
        <v>4.4043668807747849E-2</v>
      </c>
      <c r="Y55" s="474">
        <f t="shared" ca="1" si="63"/>
        <v>5.5499914352181746E-2</v>
      </c>
    </row>
    <row r="56" spans="1:25" ht="17.25" x14ac:dyDescent="0.25">
      <c r="A56" t="s">
        <v>752</v>
      </c>
      <c r="B56" t="s">
        <v>753</v>
      </c>
      <c r="C56" s="256">
        <v>5000</v>
      </c>
      <c r="D56" s="256">
        <v>5000</v>
      </c>
      <c r="E56" s="256">
        <v>5000</v>
      </c>
      <c r="F56" s="256">
        <v>5000</v>
      </c>
      <c r="G56" s="256">
        <v>5000</v>
      </c>
      <c r="H56" s="256">
        <v>5000</v>
      </c>
      <c r="I56" s="256">
        <v>5000</v>
      </c>
      <c r="J56" s="256">
        <v>5000</v>
      </c>
      <c r="K56" s="256">
        <v>5000</v>
      </c>
      <c r="L56" s="256">
        <v>5000</v>
      </c>
      <c r="N56" t="s">
        <v>752</v>
      </c>
      <c r="O56" t="s">
        <v>753</v>
      </c>
      <c r="P56" s="256">
        <f t="shared" si="64"/>
        <v>5000</v>
      </c>
      <c r="Q56" s="256">
        <f t="shared" si="65"/>
        <v>5000</v>
      </c>
      <c r="R56" s="256">
        <f t="shared" si="65"/>
        <v>5000</v>
      </c>
      <c r="S56" s="256">
        <f t="shared" si="65"/>
        <v>5000</v>
      </c>
      <c r="T56" s="256">
        <f t="shared" si="65"/>
        <v>5000</v>
      </c>
      <c r="U56" s="256">
        <f t="shared" si="65"/>
        <v>5000</v>
      </c>
      <c r="V56" s="256">
        <f t="shared" si="63"/>
        <v>5000</v>
      </c>
      <c r="W56" s="256">
        <f t="shared" si="63"/>
        <v>5000</v>
      </c>
      <c r="X56" s="256">
        <f t="shared" si="63"/>
        <v>5000</v>
      </c>
      <c r="Y56" s="256">
        <f t="shared" si="63"/>
        <v>5000</v>
      </c>
    </row>
    <row r="57" spans="1:25" ht="17.25" x14ac:dyDescent="0.25">
      <c r="A57" t="s">
        <v>754</v>
      </c>
      <c r="B57" t="s">
        <v>755</v>
      </c>
      <c r="C57" s="4">
        <f t="shared" ref="C57:E57" ca="1" si="69">C56*C55</f>
        <v>12.230482638681879</v>
      </c>
      <c r="D57" s="4">
        <f t="shared" ca="1" si="69"/>
        <v>21.195698828763966</v>
      </c>
      <c r="E57" s="4">
        <f t="shared" ca="1" si="69"/>
        <v>35.070073734137715</v>
      </c>
      <c r="F57" s="4">
        <f ca="1">F56*F55</f>
        <v>54.557756848453607</v>
      </c>
      <c r="G57" s="4">
        <f t="shared" ref="G57" ca="1" si="70">G56*G55</f>
        <v>80.273967867892736</v>
      </c>
      <c r="H57" s="4">
        <f ca="1">H56*H55</f>
        <v>113.35042439693947</v>
      </c>
      <c r="I57" s="4">
        <f t="shared" ref="I57:L57" ca="1" si="71">I56*I55</f>
        <v>153.40836908928938</v>
      </c>
      <c r="J57" s="4">
        <f t="shared" ca="1" si="71"/>
        <v>171.42860397519416</v>
      </c>
      <c r="K57" s="4">
        <f ca="1">K56*K55</f>
        <v>220.21834403873925</v>
      </c>
      <c r="L57" s="4">
        <f t="shared" ca="1" si="71"/>
        <v>277.49957176090874</v>
      </c>
      <c r="N57" t="s">
        <v>754</v>
      </c>
      <c r="O57" t="s">
        <v>755</v>
      </c>
      <c r="P57" s="6">
        <f t="shared" ca="1" si="64"/>
        <v>12.230482638681879</v>
      </c>
      <c r="Q57" s="6">
        <f t="shared" ca="1" si="65"/>
        <v>21.195698828763966</v>
      </c>
      <c r="R57" s="6">
        <f t="shared" ca="1" si="65"/>
        <v>35.070073734137715</v>
      </c>
      <c r="S57" s="6">
        <f t="shared" ca="1" si="65"/>
        <v>54.557756848453607</v>
      </c>
      <c r="T57" s="6">
        <f t="shared" ca="1" si="65"/>
        <v>80.273967867892736</v>
      </c>
      <c r="U57" s="6">
        <f t="shared" ca="1" si="65"/>
        <v>113.35042439693947</v>
      </c>
      <c r="V57" s="6">
        <f t="shared" ca="1" si="63"/>
        <v>153.40836908928938</v>
      </c>
      <c r="W57" s="6">
        <f t="shared" ca="1" si="63"/>
        <v>171.42860397519416</v>
      </c>
      <c r="X57" s="6">
        <f t="shared" ca="1" si="63"/>
        <v>220.21834403873925</v>
      </c>
      <c r="Y57" s="6">
        <f t="shared" ca="1" si="63"/>
        <v>277.49957176090874</v>
      </c>
    </row>
    <row r="58" spans="1:25" ht="18" x14ac:dyDescent="0.35">
      <c r="A58" t="s">
        <v>756</v>
      </c>
      <c r="B58" t="s">
        <v>644</v>
      </c>
      <c r="C58" s="172">
        <f>Chem!$E$51*C53^1.5</f>
        <v>1.2500000000000002E-3</v>
      </c>
      <c r="D58" s="172">
        <f>Chem!$E$51*D53^1.5</f>
        <v>1.2500000000000002E-3</v>
      </c>
      <c r="E58" s="172">
        <f>Chem!$E$51*E53^1.5</f>
        <v>1.2500000000000002E-3</v>
      </c>
      <c r="F58" s="172">
        <f>Chem!$E$51*F53^1.5</f>
        <v>1.2500000000000002E-3</v>
      </c>
      <c r="G58" s="172">
        <f>Chem!$E$51*G53^1.5</f>
        <v>1.2500000000000002E-3</v>
      </c>
      <c r="H58" s="172">
        <f>Chem!$E$51*H53^1.5</f>
        <v>1.2500000000000002E-3</v>
      </c>
      <c r="I58" s="172">
        <f>Chem!$E$51*I53^1.5</f>
        <v>1.2500000000000002E-3</v>
      </c>
      <c r="J58" s="172">
        <f>Chem!$E$51*J53^1.5</f>
        <v>1.2500000000000002E-3</v>
      </c>
      <c r="K58" s="172">
        <f>Chem!$E$51*K53^1.5</f>
        <v>1.2500000000000002E-3</v>
      </c>
      <c r="L58" s="172">
        <f>Chem!$E$51*L53^1.5</f>
        <v>1.2500000000000002E-3</v>
      </c>
      <c r="N58" t="s">
        <v>756</v>
      </c>
      <c r="O58" t="s">
        <v>644</v>
      </c>
      <c r="P58" s="256">
        <f t="shared" si="64"/>
        <v>1.2500000000000002E-3</v>
      </c>
      <c r="Q58" s="256">
        <f t="shared" si="65"/>
        <v>1.2500000000000002E-3</v>
      </c>
      <c r="R58" s="256">
        <f t="shared" si="65"/>
        <v>1.2500000000000002E-3</v>
      </c>
      <c r="S58" s="256">
        <f t="shared" si="65"/>
        <v>1.2500000000000002E-3</v>
      </c>
      <c r="T58" s="256">
        <f t="shared" si="65"/>
        <v>1.2500000000000002E-3</v>
      </c>
      <c r="U58" s="256">
        <f t="shared" si="65"/>
        <v>1.2500000000000002E-3</v>
      </c>
      <c r="V58" s="256">
        <f t="shared" si="63"/>
        <v>1.2500000000000002E-3</v>
      </c>
      <c r="W58" s="256">
        <f t="shared" si="63"/>
        <v>1.2500000000000002E-3</v>
      </c>
      <c r="X58" s="256">
        <f t="shared" si="63"/>
        <v>1.2500000000000002E-3</v>
      </c>
      <c r="Y58" s="256">
        <f t="shared" si="63"/>
        <v>1.2500000000000002E-3</v>
      </c>
    </row>
    <row r="59" spans="1:25" ht="18" x14ac:dyDescent="0.35">
      <c r="A59" t="s">
        <v>757</v>
      </c>
      <c r="B59" t="s">
        <v>644</v>
      </c>
      <c r="C59" s="212">
        <f>100*C54^1.5</f>
        <v>3.16227766016838</v>
      </c>
      <c r="D59" s="474">
        <f t="shared" ref="D59:L59" si="72">100*D54^1.5</f>
        <v>3.16227766016838</v>
      </c>
      <c r="E59" s="474">
        <f t="shared" si="72"/>
        <v>3.16227766016838</v>
      </c>
      <c r="F59" s="474">
        <f t="shared" si="72"/>
        <v>3.16227766016838</v>
      </c>
      <c r="G59" s="474">
        <f t="shared" si="72"/>
        <v>3.16227766016838</v>
      </c>
      <c r="H59" s="474">
        <f t="shared" si="72"/>
        <v>3.16227766016838</v>
      </c>
      <c r="I59" s="474">
        <f t="shared" si="72"/>
        <v>3.16227766016838</v>
      </c>
      <c r="J59" s="474">
        <f t="shared" si="72"/>
        <v>3.16227766016838</v>
      </c>
      <c r="K59" s="474">
        <f t="shared" si="72"/>
        <v>3.16227766016838</v>
      </c>
      <c r="L59" s="474">
        <f t="shared" si="72"/>
        <v>3.16227766016838</v>
      </c>
      <c r="N59" t="s">
        <v>757</v>
      </c>
      <c r="O59" t="s">
        <v>644</v>
      </c>
      <c r="P59" s="66">
        <f t="shared" si="64"/>
        <v>3.16227766016838</v>
      </c>
      <c r="Q59" s="66">
        <f t="shared" si="65"/>
        <v>3.16227766016838</v>
      </c>
      <c r="R59" s="66">
        <f t="shared" si="65"/>
        <v>3.16227766016838</v>
      </c>
      <c r="S59" s="66">
        <f t="shared" si="65"/>
        <v>3.16227766016838</v>
      </c>
      <c r="T59" s="66">
        <f t="shared" si="65"/>
        <v>3.16227766016838</v>
      </c>
      <c r="U59" s="66">
        <f t="shared" si="65"/>
        <v>3.16227766016838</v>
      </c>
      <c r="V59" s="66">
        <f t="shared" si="63"/>
        <v>3.16227766016838</v>
      </c>
      <c r="W59" s="66">
        <f t="shared" si="63"/>
        <v>3.16227766016838</v>
      </c>
      <c r="X59" s="66">
        <f t="shared" si="63"/>
        <v>3.16227766016838</v>
      </c>
      <c r="Y59" s="66">
        <f t="shared" si="63"/>
        <v>3.16227766016838</v>
      </c>
    </row>
    <row r="60" spans="1:25" ht="15" x14ac:dyDescent="0.25">
      <c r="A60" t="s">
        <v>656</v>
      </c>
      <c r="C60" s="370" t="str">
        <f t="shared" ref="C60:L60" ca="1" si="73">IF(ABS(C14)&gt;C56*C62*C55,"Use Tafel", "Use Linear")</f>
        <v>Use Tafel</v>
      </c>
      <c r="D60" s="370" t="str">
        <f t="shared" ca="1" si="73"/>
        <v>Use Tafel</v>
      </c>
      <c r="E60" s="370" t="str">
        <f t="shared" ca="1" si="73"/>
        <v>Use Tafel</v>
      </c>
      <c r="F60" s="370" t="str">
        <f t="shared" ca="1" si="73"/>
        <v>Use Tafel</v>
      </c>
      <c r="G60" s="370" t="str">
        <f t="shared" ca="1" si="73"/>
        <v>Use Tafel</v>
      </c>
      <c r="H60" s="370" t="str">
        <f t="shared" ca="1" si="73"/>
        <v>Use Tafel</v>
      </c>
      <c r="I60" s="370" t="str">
        <f ca="1">IF(ABS(I14)&gt;I56*I62*I55*0.8,"Use Tafel", "Use Linear")</f>
        <v>Use Tafel</v>
      </c>
      <c r="J60" s="370" t="str">
        <f t="shared" ca="1" si="73"/>
        <v>Use Linear</v>
      </c>
      <c r="K60" s="370" t="str">
        <f t="shared" ca="1" si="73"/>
        <v>Use Linear</v>
      </c>
      <c r="L60" s="370" t="str">
        <f t="shared" ca="1" si="73"/>
        <v>Use Linear</v>
      </c>
      <c r="N60" t="s">
        <v>656</v>
      </c>
      <c r="P60" s="370" t="str">
        <f t="shared" ref="P60:Y60" ca="1" si="74">IF(ABS(P16)&gt;P56*P62*P55,"Use Tafel", "Use Linear")</f>
        <v>Use Tafel</v>
      </c>
      <c r="Q60" s="370" t="str">
        <f t="shared" ca="1" si="74"/>
        <v>Use Tafel</v>
      </c>
      <c r="R60" s="370" t="str">
        <f t="shared" ca="1" si="74"/>
        <v>Use Tafel</v>
      </c>
      <c r="S60" s="370" t="str">
        <f t="shared" ca="1" si="74"/>
        <v>Use Tafel</v>
      </c>
      <c r="T60" s="370" t="str">
        <f t="shared" ca="1" si="74"/>
        <v>Use Linear</v>
      </c>
      <c r="U60" s="370" t="str">
        <f t="shared" ca="1" si="74"/>
        <v>Use Linear</v>
      </c>
      <c r="V60" s="370" t="str">
        <f t="shared" ca="1" si="74"/>
        <v>Use Linear</v>
      </c>
      <c r="W60" s="370" t="str">
        <f t="shared" ca="1" si="74"/>
        <v>Use Linear</v>
      </c>
      <c r="X60" s="370" t="str">
        <f t="shared" ca="1" si="74"/>
        <v>Use Linear</v>
      </c>
      <c r="Y60" s="370" t="str">
        <f t="shared" ca="1" si="74"/>
        <v>Use Linear</v>
      </c>
    </row>
    <row r="61" spans="1:25" ht="15" x14ac:dyDescent="0.25">
      <c r="A61" t="s">
        <v>657</v>
      </c>
      <c r="C61" s="388" t="s">
        <v>658</v>
      </c>
      <c r="D61" s="388" t="s">
        <v>658</v>
      </c>
      <c r="E61" s="388" t="s">
        <v>658</v>
      </c>
      <c r="F61" s="388" t="s">
        <v>658</v>
      </c>
      <c r="G61" s="388" t="s">
        <v>658</v>
      </c>
      <c r="H61" s="388" t="s">
        <v>658</v>
      </c>
      <c r="I61" s="388" t="s">
        <v>658</v>
      </c>
      <c r="J61" s="388" t="s">
        <v>658</v>
      </c>
      <c r="K61" s="388" t="s">
        <v>658</v>
      </c>
      <c r="L61" s="388" t="s">
        <v>658</v>
      </c>
      <c r="N61" t="s">
        <v>657</v>
      </c>
      <c r="P61" s="388" t="s">
        <v>658</v>
      </c>
      <c r="Q61" s="388" t="s">
        <v>658</v>
      </c>
      <c r="R61" s="388" t="s">
        <v>658</v>
      </c>
      <c r="S61" s="388" t="s">
        <v>658</v>
      </c>
      <c r="T61" s="388" t="s">
        <v>658</v>
      </c>
      <c r="U61" s="388" t="s">
        <v>658</v>
      </c>
      <c r="V61" s="388" t="s">
        <v>658</v>
      </c>
      <c r="W61" s="388" t="s">
        <v>658</v>
      </c>
      <c r="X61" s="388" t="s">
        <v>658</v>
      </c>
      <c r="Y61" s="388" t="s">
        <v>658</v>
      </c>
    </row>
    <row r="62" spans="1:25" ht="18.75" x14ac:dyDescent="0.35">
      <c r="A62" t="s">
        <v>659</v>
      </c>
      <c r="B62" t="s">
        <v>726</v>
      </c>
      <c r="C62" s="424">
        <f>0.00001</f>
        <v>1.0000000000000001E-5</v>
      </c>
      <c r="D62" s="424">
        <f>C62*1.7</f>
        <v>1.7E-5</v>
      </c>
      <c r="E62" s="424">
        <f t="shared" ref="E62:L62" si="75">D62*1.7</f>
        <v>2.8899999999999998E-5</v>
      </c>
      <c r="F62" s="424">
        <f t="shared" si="75"/>
        <v>4.9129999999999992E-5</v>
      </c>
      <c r="G62" s="424">
        <f t="shared" si="75"/>
        <v>8.3520999999999989E-5</v>
      </c>
      <c r="H62" s="424">
        <f t="shared" si="75"/>
        <v>1.4198569999999998E-4</v>
      </c>
      <c r="I62" s="424">
        <f t="shared" si="75"/>
        <v>2.4137568999999998E-4</v>
      </c>
      <c r="J62" s="424">
        <f t="shared" si="75"/>
        <v>4.1033867299999997E-4</v>
      </c>
      <c r="K62" s="424">
        <f t="shared" si="75"/>
        <v>6.9757574409999991E-4</v>
      </c>
      <c r="L62" s="424">
        <f t="shared" si="75"/>
        <v>1.1858787649699999E-3</v>
      </c>
      <c r="N62" t="s">
        <v>659</v>
      </c>
      <c r="O62" t="s">
        <v>726</v>
      </c>
      <c r="P62" s="372">
        <f t="shared" ref="P62:U63" si="76">C62</f>
        <v>1.0000000000000001E-5</v>
      </c>
      <c r="Q62" s="372">
        <f t="shared" si="76"/>
        <v>1.7E-5</v>
      </c>
      <c r="R62" s="372">
        <f t="shared" si="76"/>
        <v>2.8899999999999998E-5</v>
      </c>
      <c r="S62" s="372">
        <f t="shared" si="76"/>
        <v>4.9129999999999992E-5</v>
      </c>
      <c r="T62" s="372">
        <f t="shared" si="76"/>
        <v>8.3520999999999989E-5</v>
      </c>
      <c r="U62" s="372">
        <f t="shared" si="76"/>
        <v>1.4198569999999998E-4</v>
      </c>
      <c r="V62" s="372">
        <f t="shared" ref="V62:Y64" si="77">I62</f>
        <v>2.4137568999999998E-4</v>
      </c>
      <c r="W62" s="372">
        <f t="shared" ref="W62" si="78">J62</f>
        <v>4.1033867299999997E-4</v>
      </c>
      <c r="X62" s="372">
        <f t="shared" ref="X62" si="79">K62</f>
        <v>6.9757574409999991E-4</v>
      </c>
      <c r="Y62" s="372">
        <f t="shared" ref="Y62" si="80">L62</f>
        <v>1.1858787649699999E-3</v>
      </c>
    </row>
    <row r="63" spans="1:25" ht="15" x14ac:dyDescent="0.25">
      <c r="A63" t="s">
        <v>660</v>
      </c>
      <c r="C63" s="256">
        <v>0.5</v>
      </c>
      <c r="D63" s="256">
        <v>0.5</v>
      </c>
      <c r="E63" s="256">
        <v>0.5</v>
      </c>
      <c r="F63" s="256">
        <v>0.5</v>
      </c>
      <c r="G63" s="256">
        <v>0.5</v>
      </c>
      <c r="H63" s="256">
        <v>0.5</v>
      </c>
      <c r="I63" s="256">
        <v>0.5</v>
      </c>
      <c r="J63" s="256">
        <v>0.5</v>
      </c>
      <c r="K63" s="256">
        <v>0.5</v>
      </c>
      <c r="L63" s="256">
        <v>0.5</v>
      </c>
      <c r="N63" t="s">
        <v>660</v>
      </c>
      <c r="P63" s="256">
        <f t="shared" si="76"/>
        <v>0.5</v>
      </c>
      <c r="Q63" s="256">
        <f t="shared" si="76"/>
        <v>0.5</v>
      </c>
      <c r="R63" s="256">
        <f t="shared" si="76"/>
        <v>0.5</v>
      </c>
      <c r="S63" s="256">
        <f t="shared" si="76"/>
        <v>0.5</v>
      </c>
      <c r="T63" s="256">
        <f t="shared" si="76"/>
        <v>0.5</v>
      </c>
      <c r="U63" s="256">
        <f t="shared" si="76"/>
        <v>0.5</v>
      </c>
      <c r="V63" s="256">
        <f t="shared" si="77"/>
        <v>0.5</v>
      </c>
      <c r="W63" s="256">
        <f t="shared" si="77"/>
        <v>0.5</v>
      </c>
      <c r="X63" s="256">
        <f t="shared" si="77"/>
        <v>0.5</v>
      </c>
      <c r="Y63" s="256">
        <f t="shared" si="77"/>
        <v>0.5</v>
      </c>
    </row>
    <row r="64" spans="1:25" ht="15" x14ac:dyDescent="0.25">
      <c r="A64" t="s">
        <v>661</v>
      </c>
      <c r="B64" t="s">
        <v>662</v>
      </c>
      <c r="C64" s="6">
        <f t="shared" ref="C64:L64" si="81">(1-C63)*96485.3/303/8.31443</f>
        <v>19.149438586489595</v>
      </c>
      <c r="D64" s="6">
        <f t="shared" si="81"/>
        <v>19.149438586489595</v>
      </c>
      <c r="E64" s="6">
        <f t="shared" si="81"/>
        <v>19.149438586489595</v>
      </c>
      <c r="F64" s="6">
        <f t="shared" si="81"/>
        <v>19.149438586489595</v>
      </c>
      <c r="G64" s="6">
        <f t="shared" si="81"/>
        <v>19.149438586489595</v>
      </c>
      <c r="H64" s="6">
        <f t="shared" si="81"/>
        <v>19.149438586489595</v>
      </c>
      <c r="I64" s="6">
        <f t="shared" si="81"/>
        <v>19.149438586489595</v>
      </c>
      <c r="J64" s="6">
        <f t="shared" si="81"/>
        <v>19.149438586489595</v>
      </c>
      <c r="K64" s="6">
        <f t="shared" si="81"/>
        <v>19.149438586489595</v>
      </c>
      <c r="L64" s="6">
        <f t="shared" si="81"/>
        <v>19.149438586489595</v>
      </c>
      <c r="N64" t="s">
        <v>661</v>
      </c>
      <c r="O64" t="s">
        <v>662</v>
      </c>
      <c r="P64" s="6">
        <f>C64</f>
        <v>19.149438586489595</v>
      </c>
      <c r="Q64" s="6">
        <f t="shared" ref="Q64:U64" si="82">D64</f>
        <v>19.149438586489595</v>
      </c>
      <c r="R64" s="6">
        <f t="shared" si="82"/>
        <v>19.149438586489595</v>
      </c>
      <c r="S64" s="6">
        <f t="shared" si="82"/>
        <v>19.149438586489595</v>
      </c>
      <c r="T64" s="6">
        <f t="shared" si="82"/>
        <v>19.149438586489595</v>
      </c>
      <c r="U64" s="6">
        <f t="shared" si="82"/>
        <v>19.149438586489595</v>
      </c>
      <c r="V64" s="6">
        <f t="shared" si="77"/>
        <v>19.149438586489595</v>
      </c>
      <c r="W64" s="6">
        <f t="shared" si="77"/>
        <v>19.149438586489595</v>
      </c>
      <c r="X64" s="6">
        <f t="shared" si="77"/>
        <v>19.149438586489595</v>
      </c>
      <c r="Y64" s="6">
        <f t="shared" si="77"/>
        <v>19.149438586489595</v>
      </c>
    </row>
    <row r="65" spans="1:25" ht="15" x14ac:dyDescent="0.25">
      <c r="A65" t="s">
        <v>663</v>
      </c>
      <c r="B65" t="s">
        <v>664</v>
      </c>
      <c r="C65" s="6">
        <f t="shared" ref="C65:L65" ca="1" si="83">C55*ABS(C$14)*C64*(1/C58+1/C59)</f>
        <v>0.112852363465339</v>
      </c>
      <c r="D65" s="6">
        <f t="shared" ca="1" si="83"/>
        <v>0.33987971431466402</v>
      </c>
      <c r="E65" s="6">
        <f t="shared" ca="1" si="83"/>
        <v>0.93420292211104983</v>
      </c>
      <c r="F65" s="6">
        <f t="shared" ca="1" si="83"/>
        <v>2.2732488957013381</v>
      </c>
      <c r="G65" s="6">
        <f t="shared" ca="1" si="83"/>
        <v>4.8900478015930773</v>
      </c>
      <c r="H65" s="6">
        <f t="shared" ca="1" si="83"/>
        <v>9.7345092011842134</v>
      </c>
      <c r="I65" s="6">
        <f t="shared" ca="1" si="83"/>
        <v>17.796673799828927</v>
      </c>
      <c r="J65" s="6">
        <f t="shared" ca="1" si="83"/>
        <v>22.628130230565191</v>
      </c>
      <c r="K65" s="6">
        <f t="shared" ca="1" si="83"/>
        <v>37.381955222028076</v>
      </c>
      <c r="L65" s="6">
        <f t="shared" ca="1" si="83"/>
        <v>59.451576456752022</v>
      </c>
      <c r="N65" t="s">
        <v>663</v>
      </c>
      <c r="O65" t="s">
        <v>664</v>
      </c>
      <c r="P65" s="6">
        <f t="shared" ref="P65:Y65" ca="1" si="84">P55*ABS(P$16)*P64*(1/P58+1/P59)</f>
        <v>2.9689365763307881E-2</v>
      </c>
      <c r="Q65" s="6">
        <f t="shared" ca="1" si="84"/>
        <v>8.9168037648007029E-2</v>
      </c>
      <c r="R65" s="6">
        <f t="shared" ca="1" si="84"/>
        <v>0.24411085234018093</v>
      </c>
      <c r="S65" s="6">
        <f t="shared" ca="1" si="84"/>
        <v>0.59078130117154615</v>
      </c>
      <c r="T65" s="6">
        <f t="shared" ca="1" si="84"/>
        <v>1.2789783403490049</v>
      </c>
      <c r="U65" s="6">
        <f t="shared" ca="1" si="84"/>
        <v>2.5501165520818172</v>
      </c>
      <c r="V65" s="6">
        <f t="shared" ca="1" si="84"/>
        <v>4.6710210938939483</v>
      </c>
      <c r="W65" s="6">
        <f t="shared" ca="1" si="84"/>
        <v>5.8328432731921147</v>
      </c>
      <c r="X65" s="6">
        <f t="shared" ca="1" si="84"/>
        <v>9.6254425418212044</v>
      </c>
      <c r="Y65" s="6">
        <f t="shared" ca="1" si="84"/>
        <v>15.284043800778809</v>
      </c>
    </row>
    <row r="66" spans="1:25" ht="15" x14ac:dyDescent="0.25">
      <c r="A66" t="s">
        <v>665</v>
      </c>
      <c r="B66" t="s">
        <v>664</v>
      </c>
      <c r="C66" s="6">
        <f t="shared" ref="C66:L66" ca="1" si="85">C55*ABS(C14)*C64/C58</f>
        <v>0.11280777227806796</v>
      </c>
      <c r="D66" s="6">
        <f t="shared" ca="1" si="85"/>
        <v>0.3397454181464204</v>
      </c>
      <c r="E66" s="6">
        <f t="shared" ca="1" si="85"/>
        <v>0.93383379189374782</v>
      </c>
      <c r="F66" s="6">
        <f t="shared" ca="1" si="85"/>
        <v>2.2723506702312704</v>
      </c>
      <c r="G66" s="6">
        <f t="shared" ca="1" si="85"/>
        <v>4.8881156042461233</v>
      </c>
      <c r="H66" s="6">
        <f t="shared" ca="1" si="85"/>
        <v>9.7306628189778284</v>
      </c>
      <c r="I66" s="6">
        <f t="shared" ca="1" si="85"/>
        <v>17.789641826462649</v>
      </c>
      <c r="J66" s="6">
        <f t="shared" ca="1" si="85"/>
        <v>22.61918921097357</v>
      </c>
      <c r="K66" s="6">
        <f t="shared" ca="1" si="85"/>
        <v>37.367184545414155</v>
      </c>
      <c r="L66" s="6">
        <f t="shared" ca="1" si="85"/>
        <v>59.428085443378997</v>
      </c>
      <c r="N66" t="s">
        <v>665</v>
      </c>
      <c r="O66" t="s">
        <v>664</v>
      </c>
      <c r="P66" s="6">
        <f t="shared" ref="P66:Y66" ca="1" si="86">P55*ABS(P16)*P64/P58</f>
        <v>2.9677634648176059E-2</v>
      </c>
      <c r="Q66" s="6">
        <f t="shared" ca="1" si="86"/>
        <v>8.9132804813325847E-2</v>
      </c>
      <c r="R66" s="6">
        <f t="shared" ca="1" si="86"/>
        <v>0.24401439718056048</v>
      </c>
      <c r="S66" s="6">
        <f t="shared" ca="1" si="86"/>
        <v>0.59054786663080772</v>
      </c>
      <c r="T66" s="6">
        <f t="shared" ca="1" si="86"/>
        <v>1.2784729795312173</v>
      </c>
      <c r="U66" s="6">
        <f t="shared" ca="1" si="86"/>
        <v>2.5491089283046526</v>
      </c>
      <c r="V66" s="6">
        <f t="shared" ca="1" si="86"/>
        <v>4.6691754402456862</v>
      </c>
      <c r="W66" s="6">
        <f t="shared" ca="1" si="86"/>
        <v>5.8305385504665033</v>
      </c>
      <c r="X66" s="6">
        <f t="shared" ca="1" si="86"/>
        <v>9.6216392549624334</v>
      </c>
      <c r="Y66" s="6">
        <f t="shared" ca="1" si="86"/>
        <v>15.278004639183504</v>
      </c>
    </row>
    <row r="67" spans="1:25" ht="15" x14ac:dyDescent="0.25">
      <c r="A67" t="s">
        <v>758</v>
      </c>
      <c r="B67" t="s">
        <v>759</v>
      </c>
      <c r="C67" s="423">
        <f ca="1">IF(C65&gt;19.2,IF(C20=1,ATAN((C69-C68)*0.1+C68)+PI(),1.58),IF(C20=1,ATAN((C69-C68)*0.1+C68),1.565))</f>
        <v>0.23533361363437888</v>
      </c>
      <c r="D67" s="423">
        <f t="shared" ref="D67:F67" ca="1" si="87">IF(D65&gt;19.2,IF(D20=1,ATAN((D69-D68)*0.1+D68)+PI(),1.58),IF(D20=1,ATAN((D69-D68)*0.1+D68),1.565))</f>
        <v>0.4009319431933045</v>
      </c>
      <c r="E67" s="423">
        <f t="shared" ca="1" si="87"/>
        <v>0.63461116114396099</v>
      </c>
      <c r="F67" s="423">
        <f t="shared" ca="1" si="87"/>
        <v>0.90088950340646945</v>
      </c>
      <c r="G67" s="423">
        <f ca="1">IF(G65&gt;19.2,IF(G20=1,ATAN((G69-G68)*0.1+G68)+PI(),1.58),IF(G20=1,ATAN((G69-G68)*0.1+G68),1.565))</f>
        <v>1.1364134767772898</v>
      </c>
      <c r="H67" s="423">
        <f ca="1">IF(H65&gt;30,IF(H20=1,ATAN((H69-H68)*0.1+H68)+PI(),1.58),IF(H20=1,ATAN((H69-H68)*0.1+H68),1.565))</f>
        <v>1.3093711409171398</v>
      </c>
      <c r="I67" s="423">
        <f ca="1">IF(I65&gt;50,IF(I20=1,ATAN((I69-I68)*0.1+I68)+PI(),1.58),IF(I20=1,ATAN((I69-I68)*0.1+I68),1.565))</f>
        <v>1.4154692835100324</v>
      </c>
      <c r="J67" s="429">
        <f ca="1">IF(J65&gt;21,IF(J20=1,ATAN((J69-J68)*0.1+J68)+PI(),1.5715),IF(J20=1,ATAN((J69-J68)*0.1+J68),1.565))</f>
        <v>4.3465012418449742</v>
      </c>
      <c r="K67" s="429">
        <f ca="1">IF(K65&gt;21,IF(K20=1,ATAN((K69-K68)*0.1+K68)+PI(),1.5715),IF(K20=1,ATAN((K69-K68)*0.1+K68),1.565))</f>
        <v>4.478761045885487</v>
      </c>
      <c r="L67" s="429">
        <f ca="1">IF(L65&gt;21,IF(L20=1,ATAN((L69-L68)*0.1+L68)+PI(),1.5715),IF(L20=1,ATAN((L69-L68)*0.1+L68),1.565))</f>
        <v>4.5626017284017113</v>
      </c>
      <c r="M67" s="172">
        <f>PI()/2</f>
        <v>1.5707963267948966</v>
      </c>
      <c r="N67" t="s">
        <v>758</v>
      </c>
      <c r="O67" t="s">
        <v>759</v>
      </c>
      <c r="P67" s="389">
        <f t="shared" ref="P67:Y67" ca="1" si="88">IF(P65&gt;19.2,IF(P20=1,ATAN((P69-P68)*0.1+P68)+PI(),1.8),IF(P20=1,ATAN((P69-P68)*0.1+P68),1.565))</f>
        <v>0.12153849010156088</v>
      </c>
      <c r="Q67" s="389">
        <f t="shared" ca="1" si="88"/>
        <v>0.20959490657827337</v>
      </c>
      <c r="R67" s="389">
        <f t="shared" ca="1" si="88"/>
        <v>0.34242245580488129</v>
      </c>
      <c r="S67" s="389">
        <f t="shared" ca="1" si="88"/>
        <v>0.51817159437822147</v>
      </c>
      <c r="T67" s="389">
        <f t="shared" ca="1" si="88"/>
        <v>0.72379178417808465</v>
      </c>
      <c r="U67" s="389">
        <f t="shared" ca="1" si="88"/>
        <v>0.9372643263210102</v>
      </c>
      <c r="V67" s="389">
        <f t="shared" ca="1" si="88"/>
        <v>1.1231953417068146</v>
      </c>
      <c r="W67" s="389">
        <f ca="1">IF(W65&gt;19.2,IF(W20=1,ATAN((W69-W68)*0.1+W68)+PI(),1.58),IF(W20=1,ATAN((W69-W68)*0.1+W68),1.565))</f>
        <v>1.1855314712975116</v>
      </c>
      <c r="X67" s="389">
        <f t="shared" ca="1" si="88"/>
        <v>1.3069788746359958</v>
      </c>
      <c r="Y67" s="389">
        <f t="shared" ca="1" si="88"/>
        <v>1.3926374671000152</v>
      </c>
    </row>
    <row r="68" spans="1:25" ht="15" x14ac:dyDescent="0.25">
      <c r="A68" t="s">
        <v>760</v>
      </c>
      <c r="B68" t="s">
        <v>664</v>
      </c>
      <c r="C68" s="66">
        <f t="shared" ref="C68:L68" ca="1" si="89">TAN(C67)</f>
        <v>0.23977646950528267</v>
      </c>
      <c r="D68" s="66">
        <f t="shared" ca="1" si="89"/>
        <v>0.42389218393526545</v>
      </c>
      <c r="E68" s="66">
        <f t="shared" ca="1" si="89"/>
        <v>0.73620109692599511</v>
      </c>
      <c r="F68" s="66">
        <f t="shared" ca="1" si="89"/>
        <v>1.2624628351278038</v>
      </c>
      <c r="G68" s="66">
        <f t="shared" ca="1" si="89"/>
        <v>2.1554676247652322</v>
      </c>
      <c r="H68" s="66">
        <f t="shared" ca="1" si="89"/>
        <v>3.7376447823745242</v>
      </c>
      <c r="I68" s="66">
        <f t="shared" ca="1" si="89"/>
        <v>6.3861697904696983</v>
      </c>
      <c r="J68" s="66">
        <f t="shared" ca="1" si="89"/>
        <v>2.6100135887982638</v>
      </c>
      <c r="K68" s="66">
        <f t="shared" ca="1" si="89"/>
        <v>4.2021492326439871</v>
      </c>
      <c r="L68" s="66">
        <f t="shared" ca="1" si="89"/>
        <v>6.6261316387560649</v>
      </c>
      <c r="M68" s="428"/>
      <c r="N68" t="s">
        <v>760</v>
      </c>
      <c r="O68" t="s">
        <v>664</v>
      </c>
      <c r="P68" s="66">
        <f t="shared" ref="P68:Y68" ca="1" si="90">TAN(P67)</f>
        <v>0.12214048684056235</v>
      </c>
      <c r="Q68" s="66">
        <f t="shared" ca="1" si="90"/>
        <v>0.212718984227139</v>
      </c>
      <c r="R68" s="66">
        <f t="shared" ca="1" si="90"/>
        <v>0.35646479812663789</v>
      </c>
      <c r="S68" s="66">
        <f t="shared" ca="1" si="90"/>
        <v>0.57013656006245217</v>
      </c>
      <c r="T68" s="66">
        <f t="shared" ca="1" si="90"/>
        <v>0.88379892413557348</v>
      </c>
      <c r="U68" s="66">
        <f t="shared" ca="1" si="90"/>
        <v>1.3613992873685616</v>
      </c>
      <c r="V68" s="66">
        <f t="shared" ca="1" si="90"/>
        <v>2.0829007907990591</v>
      </c>
      <c r="W68" s="66">
        <f t="shared" ca="1" si="90"/>
        <v>2.4659063590137031</v>
      </c>
      <c r="X68" s="66">
        <f t="shared" ca="1" si="90"/>
        <v>3.7021498913934199</v>
      </c>
      <c r="Y68" s="66">
        <f t="shared" ca="1" si="90"/>
        <v>5.5534557900100472</v>
      </c>
    </row>
    <row r="69" spans="1:25" ht="15" x14ac:dyDescent="0.25">
      <c r="A69" t="s">
        <v>761</v>
      </c>
      <c r="B69" t="s">
        <v>664</v>
      </c>
      <c r="C69" s="66">
        <f t="shared" ref="C69:L69" ca="1" si="91">2*C65*C67/(4*C67^2-C66*(C65-C66))</f>
        <v>0.23977646950113055</v>
      </c>
      <c r="D69" s="66">
        <f t="shared" ca="1" si="91"/>
        <v>0.42389218393526934</v>
      </c>
      <c r="E69" s="66">
        <f t="shared" ca="1" si="91"/>
        <v>0.73620109692597246</v>
      </c>
      <c r="F69" s="66">
        <f t="shared" ca="1" si="91"/>
        <v>1.262462835126732</v>
      </c>
      <c r="G69" s="66">
        <f t="shared" ca="1" si="91"/>
        <v>2.1554676248211155</v>
      </c>
      <c r="H69" s="66">
        <f t="shared" ca="1" si="91"/>
        <v>3.7376449024703673</v>
      </c>
      <c r="I69" s="66">
        <f ca="1">2*I65*I67/(4*I67^2-I66*(I65-I66))</f>
        <v>6.3861761682032627</v>
      </c>
      <c r="J69" s="66">
        <f t="shared" ca="1" si="91"/>
        <v>2.6100131688497692</v>
      </c>
      <c r="K69" s="66">
        <f ca="1">2*K65*K67/(4*K67^2-K66*(K65-K66))</f>
        <v>4.2021532632222183</v>
      </c>
      <c r="L69" s="66">
        <f t="shared" ca="1" si="91"/>
        <v>6.6261852191219086</v>
      </c>
      <c r="N69" t="s">
        <v>761</v>
      </c>
      <c r="O69" t="s">
        <v>664</v>
      </c>
      <c r="P69" s="66">
        <f t="shared" ref="P69:Y69" ca="1" si="92">2*P65*P67/(4*P67^2-P66*(P65-P66))</f>
        <v>0.12214048683916721</v>
      </c>
      <c r="Q69" s="66">
        <f t="shared" ca="1" si="92"/>
        <v>0.21271898422714616</v>
      </c>
      <c r="R69" s="66">
        <f t="shared" ca="1" si="92"/>
        <v>0.35646479812662213</v>
      </c>
      <c r="S69" s="66">
        <f t="shared" ca="1" si="92"/>
        <v>0.5701365600619549</v>
      </c>
      <c r="T69" s="66">
        <f t="shared" ca="1" si="92"/>
        <v>0.88379892414638839</v>
      </c>
      <c r="U69" s="66">
        <f t="shared" ca="1" si="92"/>
        <v>1.3613992957617942</v>
      </c>
      <c r="V69" s="66">
        <f t="shared" ca="1" si="92"/>
        <v>2.082901976117967</v>
      </c>
      <c r="W69" s="66">
        <f t="shared" ca="1" si="92"/>
        <v>2.4659060952973402</v>
      </c>
      <c r="X69" s="66">
        <f t="shared" ca="1" si="92"/>
        <v>3.7021525996281084</v>
      </c>
      <c r="Y69" s="66">
        <f t="shared" ca="1" si="92"/>
        <v>5.5534953961092546</v>
      </c>
    </row>
    <row r="70" spans="1:25" ht="15" x14ac:dyDescent="0.25">
      <c r="A70" t="s">
        <v>762</v>
      </c>
      <c r="B70" t="s">
        <v>664</v>
      </c>
      <c r="C70" s="20">
        <f t="shared" ref="C70:L70" ca="1" si="93">ATAN(C66/(2*C67))</f>
        <v>0.23523887326070889</v>
      </c>
      <c r="D70" s="20">
        <f t="shared" ca="1" si="93"/>
        <v>0.4007644631891974</v>
      </c>
      <c r="E70" s="20">
        <f t="shared" ca="1" si="93"/>
        <v>0.63432032934843441</v>
      </c>
      <c r="F70" s="20">
        <f t="shared" ca="1" si="93"/>
        <v>0.90039098200456291</v>
      </c>
      <c r="G70" s="20">
        <f t="shared" ca="1" si="93"/>
        <v>1.135563347445641</v>
      </c>
      <c r="H70" s="20">
        <f t="shared" ca="1" si="93"/>
        <v>1.3079023600988147</v>
      </c>
      <c r="I70" s="20">
        <f t="shared" ca="1" si="93"/>
        <v>1.412985468822282</v>
      </c>
      <c r="J70" s="20">
        <f t="shared" ca="1" si="93"/>
        <v>1.2038800042010729</v>
      </c>
      <c r="K70" s="20">
        <f t="shared" ca="1" si="93"/>
        <v>1.3355196407724645</v>
      </c>
      <c r="L70" s="20">
        <f t="shared" ca="1" si="93"/>
        <v>1.4184359734346985</v>
      </c>
      <c r="N70" t="s">
        <v>762</v>
      </c>
      <c r="O70" t="s">
        <v>664</v>
      </c>
      <c r="P70" s="20">
        <f t="shared" ref="P70:Y70" ca="1" si="94">ATAN(P66/(2*P67))</f>
        <v>0.12149022919488413</v>
      </c>
      <c r="Q70" s="20">
        <f t="shared" ca="1" si="94"/>
        <v>0.20951085674335485</v>
      </c>
      <c r="R70" s="20">
        <f t="shared" ca="1" si="94"/>
        <v>0.34228161346618957</v>
      </c>
      <c r="S70" s="20">
        <f t="shared" ca="1" si="94"/>
        <v>0.51794634608237511</v>
      </c>
      <c r="T70" s="20">
        <f t="shared" ca="1" si="94"/>
        <v>0.72344267770885229</v>
      </c>
      <c r="U70" s="20">
        <f t="shared" ca="1" si="94"/>
        <v>0.9367267948381951</v>
      </c>
      <c r="V70" s="20">
        <f t="shared" ca="1" si="94"/>
        <v>1.1223739554388421</v>
      </c>
      <c r="W70" s="20">
        <f t="shared" ca="1" si="94"/>
        <v>1.1845594134633515</v>
      </c>
      <c r="X70" s="20">
        <f t="shared" ca="1" si="94"/>
        <v>1.3055240681109146</v>
      </c>
      <c r="Y70" s="20">
        <f t="shared" ca="1" si="94"/>
        <v>1.3904704682360132</v>
      </c>
    </row>
    <row r="71" spans="1:25" ht="18" x14ac:dyDescent="0.35">
      <c r="A71" t="s">
        <v>864</v>
      </c>
      <c r="B71" t="s">
        <v>720</v>
      </c>
      <c r="C71" s="20">
        <f t="shared" ref="C71:L71" ca="1" si="95">((C65-C66)*(C66/C65+2/C65*LN(1/COS(C67-C70)))+2*C66/C65*LN(1/COS(C70))+LN(2*ABS(C14)*C67^2/(C56*C62*C55*C65)))/C64</f>
        <v>0.16922158044599361</v>
      </c>
      <c r="D71" s="20">
        <f t="shared" ca="1" si="95"/>
        <v>0.14543547445451024</v>
      </c>
      <c r="E71" s="20">
        <f t="shared" ca="1" si="95"/>
        <v>0.12707380940550261</v>
      </c>
      <c r="F71" s="20">
        <f t="shared" ca="1" si="95"/>
        <v>0.11693439731098547</v>
      </c>
      <c r="G71" s="20">
        <f t="shared" ca="1" si="95"/>
        <v>0.11367847024337459</v>
      </c>
      <c r="H71" s="20">
        <f t="shared" ca="1" si="95"/>
        <v>0.11534802702613994</v>
      </c>
      <c r="I71" s="20">
        <f t="shared" ca="1" si="95"/>
        <v>0.11684533826619306</v>
      </c>
      <c r="J71" s="20" t="e">
        <f ca="1">((J65-J66)*(J66/J65+2/J65*LN(1/COS(J67-J70)))+2*J66/J65*LN(1/COS(J70))+LN(2*ABS(J14)*J67^2/(J56*J62*J55*J65)))/J64</f>
        <v>#NUM!</v>
      </c>
      <c r="K71" s="20" t="e">
        <f t="shared" ca="1" si="95"/>
        <v>#NUM!</v>
      </c>
      <c r="L71" s="20" t="e">
        <f t="shared" ca="1" si="95"/>
        <v>#NUM!</v>
      </c>
      <c r="N71" t="s">
        <v>864</v>
      </c>
      <c r="O71" t="s">
        <v>720</v>
      </c>
      <c r="P71" s="20">
        <f t="shared" ref="P71:Y71" ca="1" si="96">((P65-P66)*(P66/P65+2/P65*LN(1/COS(P67-P70)))+2*P66/P65*LN(1/COS(P70))+LN(2*ABS(P16)*P67^2/(P56*P62*P55*P65)))/P64</f>
        <v>9.8064302424260688E-2</v>
      </c>
      <c r="Q71" s="20">
        <f t="shared" ca="1" si="96"/>
        <v>7.1377597902767473E-2</v>
      </c>
      <c r="R71" s="20">
        <f t="shared" ca="1" si="96"/>
        <v>4.627708431028827E-2</v>
      </c>
      <c r="S71" s="20">
        <f t="shared" ca="1" si="96"/>
        <v>2.412620316103066E-2</v>
      </c>
      <c r="T71" s="20">
        <f t="shared" ca="1" si="96"/>
        <v>6.4216301367865363E-3</v>
      </c>
      <c r="U71" s="20">
        <f t="shared" ca="1" si="96"/>
        <v>-5.7473775312788973E-3</v>
      </c>
      <c r="V71" s="20">
        <f ca="1">((V65-V66)*(V66/V65+2/V65*LN(1/COS(V67-V70)))+2*V66/V65*LN(1/COS(V70))+LN(2*ABS(V16)*V67^2/(V56*V62*V55*V65)))/V64</f>
        <v>-1.3521502944369743E-2</v>
      </c>
      <c r="W71" s="20">
        <f t="shared" ca="1" si="96"/>
        <v>-3.2494255362783178E-2</v>
      </c>
      <c r="X71" s="20">
        <f t="shared" ca="1" si="96"/>
        <v>-3.8256489082088785E-2</v>
      </c>
      <c r="Y71" s="20">
        <f t="shared" ca="1" si="96"/>
        <v>-4.3729717644932359E-2</v>
      </c>
    </row>
    <row r="72" spans="1:25" ht="15" x14ac:dyDescent="0.25">
      <c r="A72" s="365" t="s">
        <v>865</v>
      </c>
      <c r="C72" s="388" t="s">
        <v>770</v>
      </c>
      <c r="D72" s="388" t="s">
        <v>770</v>
      </c>
      <c r="E72" s="388" t="s">
        <v>770</v>
      </c>
      <c r="F72" s="388" t="s">
        <v>770</v>
      </c>
      <c r="G72" s="388" t="s">
        <v>770</v>
      </c>
      <c r="H72" s="388" t="s">
        <v>770</v>
      </c>
      <c r="I72" s="388" t="s">
        <v>770</v>
      </c>
      <c r="J72" s="388" t="s">
        <v>770</v>
      </c>
      <c r="K72" s="388" t="s">
        <v>770</v>
      </c>
      <c r="L72" s="388" t="s">
        <v>770</v>
      </c>
      <c r="N72" s="365" t="s">
        <v>865</v>
      </c>
      <c r="P72" s="388" t="s">
        <v>770</v>
      </c>
      <c r="Q72" s="388" t="s">
        <v>770</v>
      </c>
      <c r="R72" s="388" t="s">
        <v>770</v>
      </c>
      <c r="S72" s="388" t="s">
        <v>770</v>
      </c>
      <c r="T72" s="388" t="s">
        <v>770</v>
      </c>
      <c r="U72" s="388" t="s">
        <v>770</v>
      </c>
      <c r="V72" s="388" t="s">
        <v>770</v>
      </c>
      <c r="W72" s="388" t="s">
        <v>770</v>
      </c>
      <c r="X72" s="388" t="s">
        <v>770</v>
      </c>
      <c r="Y72" s="388" t="s">
        <v>770</v>
      </c>
    </row>
    <row r="73" spans="1:25" ht="15" x14ac:dyDescent="0.25">
      <c r="A73" t="s">
        <v>771</v>
      </c>
      <c r="B73" t="s">
        <v>664</v>
      </c>
      <c r="C73" s="66">
        <f t="shared" ref="C73:L73" ca="1" si="97">SQRT((2*C63)*96495.3/8.31443/303*C56*C62*C55^2*(1/C58+1/C59))</f>
        <v>9.5764584844206246E-2</v>
      </c>
      <c r="D73" s="66">
        <f t="shared" ca="1" si="97"/>
        <v>0.21638818063787327</v>
      </c>
      <c r="E73" s="66">
        <f t="shared" ca="1" si="97"/>
        <v>0.46681729220331913</v>
      </c>
      <c r="F73" s="66">
        <f t="shared" ca="1" si="97"/>
        <v>0.94687188788363019</v>
      </c>
      <c r="G73" s="66">
        <f t="shared" ca="1" si="97"/>
        <v>1.8164937495597318</v>
      </c>
      <c r="H73" s="66">
        <f t="shared" ca="1" si="97"/>
        <v>3.3443120120711298</v>
      </c>
      <c r="I73" s="66">
        <f t="shared" ca="1" si="97"/>
        <v>5.9014285286988768</v>
      </c>
      <c r="J73" s="66">
        <f t="shared" ca="1" si="97"/>
        <v>8.5983644288315553</v>
      </c>
      <c r="K73" s="66">
        <f t="shared" ca="1" si="97"/>
        <v>14.401592323846808</v>
      </c>
      <c r="L73" s="66">
        <f t="shared" ca="1" si="97"/>
        <v>23.661583105602517</v>
      </c>
      <c r="N73" t="s">
        <v>771</v>
      </c>
      <c r="O73" t="s">
        <v>664</v>
      </c>
      <c r="P73" s="66">
        <f t="shared" ref="P73:Y73" ca="1" si="98">SQRT((2*P63)*96495.3/8.31443/303*P56*P62*P55^2*(1/P58+1/P59))</f>
        <v>9.5764584844206246E-2</v>
      </c>
      <c r="Q73" s="66">
        <f t="shared" ca="1" si="98"/>
        <v>0.21638818063787327</v>
      </c>
      <c r="R73" s="66">
        <f t="shared" ca="1" si="98"/>
        <v>0.46681729220331913</v>
      </c>
      <c r="S73" s="66">
        <f t="shared" ca="1" si="98"/>
        <v>0.94687188788363019</v>
      </c>
      <c r="T73" s="66">
        <f t="shared" ca="1" si="98"/>
        <v>1.8164937495597318</v>
      </c>
      <c r="U73" s="66">
        <f t="shared" ca="1" si="98"/>
        <v>3.3443120120711298</v>
      </c>
      <c r="V73" s="66">
        <f t="shared" ca="1" si="98"/>
        <v>5.9014285286988768</v>
      </c>
      <c r="W73" s="66">
        <f t="shared" ca="1" si="98"/>
        <v>8.5983644288315553</v>
      </c>
      <c r="X73" s="66">
        <f t="shared" ca="1" si="98"/>
        <v>14.401592323846808</v>
      </c>
      <c r="Y73" s="66">
        <f t="shared" ca="1" si="98"/>
        <v>23.661583105602517</v>
      </c>
    </row>
    <row r="74" spans="1:25" ht="18" x14ac:dyDescent="0.35">
      <c r="A74" t="s">
        <v>864</v>
      </c>
      <c r="B74" t="s">
        <v>720</v>
      </c>
      <c r="C74" s="66">
        <f t="shared" ref="C74:L74" ca="1" si="99">C14*C55/(C58+C59)*(1+(2+(C59/C58+C58/C59)*COSH(C73))/(C73*SINH(C73)))</f>
        <v>0.64456918196721735</v>
      </c>
      <c r="D74" s="66">
        <f t="shared" ca="1" si="99"/>
        <v>0.38495282138151571</v>
      </c>
      <c r="E74" s="66">
        <f t="shared" ca="1" si="99"/>
        <v>0.23989814988060323</v>
      </c>
      <c r="F74" s="66">
        <f t="shared" ca="1" si="99"/>
        <v>0.16979998970636684</v>
      </c>
      <c r="G74" s="66">
        <f t="shared" ca="1" si="99"/>
        <v>0.14823563551305505</v>
      </c>
      <c r="H74" s="66">
        <f t="shared" ca="1" si="99"/>
        <v>0.15247052278394077</v>
      </c>
      <c r="I74" s="66">
        <f t="shared" ca="1" si="99"/>
        <v>0.15772579128105663</v>
      </c>
      <c r="J74" s="66">
        <f t="shared" ca="1" si="99"/>
        <v>0.13778670185099251</v>
      </c>
      <c r="K74" s="66">
        <f t="shared" ca="1" si="99"/>
        <v>0.13621268699142985</v>
      </c>
      <c r="L74" s="66">
        <f t="shared" ca="1" si="99"/>
        <v>0.13233155956215922</v>
      </c>
      <c r="N74" t="s">
        <v>864</v>
      </c>
      <c r="O74" t="s">
        <v>720</v>
      </c>
      <c r="P74" s="66">
        <f t="shared" ref="P74:Y74" ca="1" si="100">P16*P55/(P58+P59)*(1+(2+(P59/P58+P58/P59)*COSH(P73))/(P73*SINH(P73)))</f>
        <v>0.1695742084219484</v>
      </c>
      <c r="Q74" s="66">
        <f t="shared" ca="1" si="100"/>
        <v>0.10099304613947814</v>
      </c>
      <c r="R74" s="66">
        <f t="shared" ca="1" si="100"/>
        <v>6.2686318417686571E-2</v>
      </c>
      <c r="S74" s="66">
        <f t="shared" ca="1" si="100"/>
        <v>4.4128321824915551E-2</v>
      </c>
      <c r="T74" s="66">
        <f t="shared" ca="1" si="100"/>
        <v>3.877061631735023E-2</v>
      </c>
      <c r="U74" s="66">
        <f t="shared" ca="1" si="100"/>
        <v>3.9942188745231769E-2</v>
      </c>
      <c r="V74" s="66">
        <f t="shared" ca="1" si="100"/>
        <v>4.139765140450076E-2</v>
      </c>
      <c r="W74" s="66">
        <f t="shared" ca="1" si="100"/>
        <v>3.5517218119122305E-2</v>
      </c>
      <c r="X74" s="66">
        <f t="shared" ca="1" si="100"/>
        <v>3.5073269557887879E-2</v>
      </c>
      <c r="Y74" s="66">
        <f t="shared" ca="1" si="100"/>
        <v>3.4020314903587485E-2</v>
      </c>
    </row>
    <row r="75" spans="1:25" ht="17.25" x14ac:dyDescent="0.25">
      <c r="A75" t="s">
        <v>772</v>
      </c>
      <c r="B75" t="s">
        <v>736</v>
      </c>
      <c r="C75" s="4">
        <f t="shared" ref="C75:L75" ca="1" si="101">IF(C60="Use Tafel",C71/C14,C74/C14)</f>
        <v>56.212946235012019</v>
      </c>
      <c r="D75" s="4">
        <f t="shared" ca="1" si="101"/>
        <v>27.799725796103353</v>
      </c>
      <c r="E75" s="4">
        <f t="shared" ca="1" si="101"/>
        <v>14.621743857748701</v>
      </c>
      <c r="F75" s="4">
        <f t="shared" ca="1" si="101"/>
        <v>8.6020005009751213</v>
      </c>
      <c r="G75" s="4">
        <f t="shared" ca="1" si="101"/>
        <v>5.7198878186068036</v>
      </c>
      <c r="H75" s="4">
        <f t="shared" ca="1" si="101"/>
        <v>4.1168678435779622</v>
      </c>
      <c r="I75" s="4">
        <f t="shared" ca="1" si="101"/>
        <v>3.0872320034452017</v>
      </c>
      <c r="J75" s="4">
        <f t="shared" ca="1" si="101"/>
        <v>3.1995550617314472</v>
      </c>
      <c r="K75" s="4">
        <f t="shared" ca="1" si="101"/>
        <v>2.4595559396598232</v>
      </c>
      <c r="L75" s="4">
        <f t="shared" ca="1" si="101"/>
        <v>1.8932590334432244</v>
      </c>
      <c r="N75" t="s">
        <v>772</v>
      </c>
      <c r="O75" t="s">
        <v>736</v>
      </c>
      <c r="P75" s="4">
        <f t="shared" ref="P75:Y75" ca="1" si="102">IF(P60="Use Tafel",P71/P16,P74/P16)</f>
        <v>123.82298903320128</v>
      </c>
      <c r="Q75" s="4">
        <f t="shared" ca="1" si="102"/>
        <v>52.005362033134098</v>
      </c>
      <c r="R75" s="4">
        <f t="shared" ca="1" si="102"/>
        <v>20.378079164088426</v>
      </c>
      <c r="S75" s="4">
        <f t="shared" ca="1" si="102"/>
        <v>6.82914619985785</v>
      </c>
      <c r="T75" s="4">
        <f t="shared" ca="1" si="102"/>
        <v>7.4586788865060267</v>
      </c>
      <c r="U75" s="4">
        <f t="shared" ca="1" si="102"/>
        <v>5.4418008571614189</v>
      </c>
      <c r="V75" s="4">
        <f t="shared" ca="1" si="102"/>
        <v>4.167355906850772</v>
      </c>
      <c r="W75" s="4">
        <f t="shared" ca="1" si="102"/>
        <v>3.1995550617314468</v>
      </c>
      <c r="X75" s="4">
        <f t="shared" ca="1" si="102"/>
        <v>2.4595559396598237</v>
      </c>
      <c r="Y75" s="4">
        <f t="shared" ca="1" si="102"/>
        <v>1.8932590334432249</v>
      </c>
    </row>
    <row r="76" spans="1:25" ht="15" x14ac:dyDescent="0.25">
      <c r="A76" s="369"/>
      <c r="C76" s="435"/>
      <c r="D76" s="435"/>
      <c r="E76" s="435"/>
      <c r="F76" s="435"/>
      <c r="G76" s="435"/>
      <c r="H76" s="435"/>
      <c r="I76" s="435"/>
      <c r="J76" s="435"/>
      <c r="K76" s="435"/>
      <c r="L76" s="435"/>
      <c r="N76" s="369"/>
      <c r="P76" s="390"/>
      <c r="Q76" s="381"/>
      <c r="R76" s="381"/>
      <c r="S76" s="390"/>
      <c r="T76" s="381"/>
      <c r="U76" s="381"/>
      <c r="V76" s="381"/>
      <c r="W76" s="381"/>
      <c r="X76" s="381"/>
      <c r="Y76" s="381"/>
    </row>
    <row r="77" spans="1:25" ht="15" x14ac:dyDescent="0.25">
      <c r="A77" s="385" t="s">
        <v>636</v>
      </c>
      <c r="N77" s="385" t="s">
        <v>636</v>
      </c>
    </row>
    <row r="78" spans="1:25" x14ac:dyDescent="0.2">
      <c r="C78" s="256"/>
      <c r="D78" s="256"/>
      <c r="E78" s="256"/>
      <c r="F78" s="256"/>
      <c r="G78" s="256"/>
      <c r="H78" s="256"/>
      <c r="I78" s="256"/>
      <c r="J78" s="256"/>
      <c r="K78" s="256"/>
      <c r="L78" s="256"/>
      <c r="P78" s="256"/>
      <c r="Q78" s="256"/>
      <c r="R78" s="256"/>
      <c r="S78" s="256"/>
      <c r="T78" s="256"/>
      <c r="U78" s="256"/>
      <c r="V78" s="256"/>
      <c r="W78" s="256"/>
      <c r="X78" s="256"/>
      <c r="Y78" s="256"/>
    </row>
    <row r="79" spans="1:25" ht="15" x14ac:dyDescent="0.25">
      <c r="A79" t="s">
        <v>734</v>
      </c>
      <c r="B79" t="s">
        <v>720</v>
      </c>
      <c r="C79" s="66">
        <f t="shared" ref="C79:L79" ca="1" si="103">C80*C$14</f>
        <v>6.8688944439886917E-3</v>
      </c>
      <c r="D79" s="66">
        <f t="shared" ca="1" si="103"/>
        <v>1.0437283037229966E-2</v>
      </c>
      <c r="E79" s="66">
        <f t="shared" ca="1" si="103"/>
        <v>1.6019173390274827E-2</v>
      </c>
      <c r="F79" s="66">
        <f t="shared" ca="1" si="103"/>
        <v>2.3056085297529685E-2</v>
      </c>
      <c r="G79" s="66">
        <f t="shared" ca="1" si="103"/>
        <v>3.3199266444697471E-2</v>
      </c>
      <c r="H79" s="66">
        <f t="shared" ca="1" si="103"/>
        <v>4.2588890777411993E-2</v>
      </c>
      <c r="I79" s="66">
        <f t="shared" ca="1" si="103"/>
        <v>5.6589089239163289E-2</v>
      </c>
      <c r="J79" s="66">
        <f t="shared" ca="1" si="103"/>
        <v>7.1300441698017317E-2</v>
      </c>
      <c r="K79" s="66">
        <f t="shared" ca="1" si="103"/>
        <v>9.0493517961717673E-2</v>
      </c>
      <c r="L79" s="66">
        <f t="shared" ca="1" si="103"/>
        <v>0.11291756027985833</v>
      </c>
      <c r="N79" t="s">
        <v>734</v>
      </c>
      <c r="O79" t="s">
        <v>720</v>
      </c>
      <c r="P79" s="66">
        <f ca="1">P80*P$16</f>
        <v>1.8070788530695572E-3</v>
      </c>
      <c r="Q79" s="66">
        <f t="shared" ref="Q79:Y79" ca="1" si="104">Q80*Q$16</f>
        <v>2.7382394641682008E-3</v>
      </c>
      <c r="R79" s="66">
        <f t="shared" ca="1" si="104"/>
        <v>4.1858722313226652E-3</v>
      </c>
      <c r="S79" s="66">
        <f t="shared" ca="1" si="104"/>
        <v>5.9919105636668038E-3</v>
      </c>
      <c r="T79" s="66">
        <f t="shared" ca="1" si="104"/>
        <v>8.6831753841773527E-3</v>
      </c>
      <c r="U79" s="66">
        <f t="shared" ca="1" si="104"/>
        <v>1.1156868113399171E-2</v>
      </c>
      <c r="V79" s="66">
        <f t="shared" ca="1" si="104"/>
        <v>1.4852709696961446E-2</v>
      </c>
      <c r="W79" s="66">
        <f t="shared" ca="1" si="104"/>
        <v>1.8379083799515472E-2</v>
      </c>
      <c r="X79" s="66">
        <f t="shared" ca="1" si="104"/>
        <v>2.3301086108906913E-2</v>
      </c>
      <c r="Y79" s="66">
        <f t="shared" ca="1" si="104"/>
        <v>2.9029288036624128E-2</v>
      </c>
    </row>
    <row r="80" spans="1:25" ht="17.25" x14ac:dyDescent="0.25">
      <c r="A80" t="s">
        <v>735</v>
      </c>
      <c r="B80" t="s">
        <v>736</v>
      </c>
      <c r="C80" s="20">
        <f ca="1">'Battery Design'!F87</f>
        <v>2.281746766921986</v>
      </c>
      <c r="D80" s="464">
        <f ca="1">'Battery Design'!G87</f>
        <v>1.995067624179079</v>
      </c>
      <c r="E80" s="464">
        <f ca="1">'Battery Design'!H87</f>
        <v>1.8432456791943237</v>
      </c>
      <c r="F80" s="464">
        <f ca="1">'Battery Design'!I87</f>
        <v>1.6960660151384928</v>
      </c>
      <c r="G80" s="464">
        <f ca="1">'Battery Design'!J87</f>
        <v>1.6704665300039845</v>
      </c>
      <c r="H80" s="464">
        <f ca="1">'Battery Design'!K87</f>
        <v>1.5200332372868981</v>
      </c>
      <c r="I80" s="464">
        <f ca="1">'Battery Design'!L87</f>
        <v>1.4951700250717284</v>
      </c>
      <c r="J80" s="464">
        <f ca="1">'Battery Design'!M87</f>
        <v>1.6556727614054287</v>
      </c>
      <c r="K80" s="464">
        <f ca="1">'Battery Design'!N87</f>
        <v>1.6340171721115768</v>
      </c>
      <c r="L80" s="464">
        <f ca="1">'Battery Design'!O87</f>
        <v>1.61550420581111</v>
      </c>
      <c r="N80" t="s">
        <v>735</v>
      </c>
      <c r="O80" t="s">
        <v>736</v>
      </c>
      <c r="P80" s="20">
        <f ca="1">C80</f>
        <v>2.281746766921986</v>
      </c>
      <c r="Q80" s="464">
        <f t="shared" ref="Q80:Y80" ca="1" si="105">D80</f>
        <v>1.995067624179079</v>
      </c>
      <c r="R80" s="464">
        <f t="shared" ca="1" si="105"/>
        <v>1.8432456791943237</v>
      </c>
      <c r="S80" s="464">
        <f t="shared" ca="1" si="105"/>
        <v>1.6960660151384928</v>
      </c>
      <c r="T80" s="464">
        <f t="shared" ca="1" si="105"/>
        <v>1.6704665300039845</v>
      </c>
      <c r="U80" s="464">
        <f t="shared" ca="1" si="105"/>
        <v>1.5200332372868981</v>
      </c>
      <c r="V80" s="464">
        <f t="shared" ca="1" si="105"/>
        <v>1.4951700250717284</v>
      </c>
      <c r="W80" s="464">
        <f t="shared" ca="1" si="105"/>
        <v>1.6556727614054287</v>
      </c>
      <c r="X80" s="464">
        <f t="shared" ca="1" si="105"/>
        <v>1.6340171721115768</v>
      </c>
      <c r="Y80" s="464">
        <f t="shared" ca="1" si="105"/>
        <v>1.61550420581111</v>
      </c>
    </row>
    <row r="81" spans="1:25" x14ac:dyDescent="0.2">
      <c r="C81" s="20"/>
      <c r="D81" s="20"/>
      <c r="E81" s="20"/>
      <c r="F81" s="20"/>
      <c r="G81" s="20"/>
      <c r="H81" s="20"/>
      <c r="I81" s="20"/>
      <c r="J81" s="20"/>
      <c r="K81" s="20"/>
      <c r="L81" s="20"/>
      <c r="P81" s="20"/>
      <c r="Q81" s="20"/>
      <c r="R81" s="20"/>
      <c r="S81" s="20"/>
      <c r="T81" s="20"/>
      <c r="U81" s="20"/>
      <c r="V81" s="20"/>
      <c r="W81" s="20"/>
      <c r="X81" s="20"/>
      <c r="Y81" s="20"/>
    </row>
    <row r="82" spans="1:25" x14ac:dyDescent="0.2">
      <c r="A82" t="s">
        <v>773</v>
      </c>
      <c r="N82" t="s">
        <v>774</v>
      </c>
    </row>
    <row r="83" spans="1:25" ht="17.25" x14ac:dyDescent="0.25">
      <c r="A83" s="391" t="s">
        <v>775</v>
      </c>
      <c r="B83" s="392" t="s">
        <v>736</v>
      </c>
      <c r="C83" s="393">
        <f t="shared" ref="C83:L83" ca="1" si="106">C80+C75+C48+C41+C35+C26</f>
        <v>196.65378424824914</v>
      </c>
      <c r="D83" s="393">
        <f t="shared" ca="1" si="106"/>
        <v>113.1597207147766</v>
      </c>
      <c r="E83" s="393">
        <f t="shared" ca="1" si="106"/>
        <v>68.118461265018411</v>
      </c>
      <c r="F83" s="393">
        <f t="shared" ca="1" si="106"/>
        <v>43.549070364932213</v>
      </c>
      <c r="G83" s="393">
        <f t="shared" ca="1" si="106"/>
        <v>29.787290252621673</v>
      </c>
      <c r="H83" s="393">
        <f t="shared" ca="1" si="106"/>
        <v>21.128976591225303</v>
      </c>
      <c r="I83" s="393">
        <f t="shared" ca="1" si="106"/>
        <v>15.641541540207422</v>
      </c>
      <c r="J83" s="393">
        <f t="shared" ca="1" si="106"/>
        <v>13.746875410813747</v>
      </c>
      <c r="K83" s="393">
        <f t="shared" ca="1" si="106"/>
        <v>10.689583580278249</v>
      </c>
      <c r="L83" s="393">
        <f t="shared" ca="1" si="106"/>
        <v>8.4696883299973962</v>
      </c>
      <c r="N83" s="391" t="s">
        <v>775</v>
      </c>
      <c r="O83" s="392" t="s">
        <v>736</v>
      </c>
      <c r="P83" s="393">
        <f t="shared" ref="P83:Y83" ca="1" si="107">P80+P75+P48+P41+P35+P26</f>
        <v>421.05610074869725</v>
      </c>
      <c r="Q83" s="393">
        <f t="shared" ca="1" si="107"/>
        <v>237.63775273090704</v>
      </c>
      <c r="R83" s="393">
        <f t="shared" ca="1" si="107"/>
        <v>138.97282817981664</v>
      </c>
      <c r="S83" s="393">
        <f t="shared" ca="1" si="107"/>
        <v>85.243404370589076</v>
      </c>
      <c r="T83" s="393">
        <f t="shared" ca="1" si="107"/>
        <v>61.187698684293693</v>
      </c>
      <c r="U83" s="393">
        <f t="shared" ca="1" si="107"/>
        <v>43.170135495190209</v>
      </c>
      <c r="V83" s="393">
        <f t="shared" ca="1" si="107"/>
        <v>31.490636251265045</v>
      </c>
      <c r="W83" s="393">
        <f t="shared" ca="1" si="107"/>
        <v>25.317718051740371</v>
      </c>
      <c r="X83" s="393">
        <f t="shared" ca="1" si="107"/>
        <v>19.071002875478815</v>
      </c>
      <c r="Y83" s="393">
        <f t="shared" ca="1" si="107"/>
        <v>14.553074358098971</v>
      </c>
    </row>
    <row r="84" spans="1:25" ht="15" x14ac:dyDescent="0.25">
      <c r="A84" s="391" t="s">
        <v>776</v>
      </c>
      <c r="B84" s="392" t="s">
        <v>720</v>
      </c>
      <c r="C84" s="389">
        <f t="shared" ref="C84:L84" ca="1" si="108">C83*C14</f>
        <v>0.59200000000083697</v>
      </c>
      <c r="D84" s="389">
        <f t="shared" ca="1" si="108"/>
        <v>0.59200000000000796</v>
      </c>
      <c r="E84" s="389">
        <f t="shared" ca="1" si="108"/>
        <v>0.59199999999998842</v>
      </c>
      <c r="F84" s="389">
        <f t="shared" ca="1" si="108"/>
        <v>0.59199999999997377</v>
      </c>
      <c r="G84" s="389">
        <f t="shared" ca="1" si="108"/>
        <v>0.591999999999683</v>
      </c>
      <c r="H84" s="389">
        <f t="shared" ca="1" si="108"/>
        <v>0.59199999987397722</v>
      </c>
      <c r="I84" s="389">
        <f t="shared" ca="1" si="108"/>
        <v>0.59199995667014571</v>
      </c>
      <c r="J84" s="389">
        <f t="shared" ca="1" si="108"/>
        <v>0.59200000845977541</v>
      </c>
      <c r="K84" s="389">
        <f t="shared" ca="1" si="108"/>
        <v>0.59199991299671517</v>
      </c>
      <c r="L84" s="389">
        <f t="shared" ca="1" si="108"/>
        <v>0.59199879462642291</v>
      </c>
      <c r="N84" s="391" t="s">
        <v>776</v>
      </c>
      <c r="O84" s="392" t="s">
        <v>720</v>
      </c>
      <c r="P84" s="389">
        <f t="shared" ref="P84:Y84" ca="1" si="109">P83*P16</f>
        <v>0.33346451352687645</v>
      </c>
      <c r="Q84" s="389">
        <f t="shared" ca="1" si="109"/>
        <v>0.32615890550164778</v>
      </c>
      <c r="R84" s="389">
        <f t="shared" ca="1" si="109"/>
        <v>0.31559683494851465</v>
      </c>
      <c r="S84" s="389">
        <f t="shared" ca="1" si="109"/>
        <v>0.3011503388264743</v>
      </c>
      <c r="T84" s="389">
        <f t="shared" ca="1" si="109"/>
        <v>0.31805696761154828</v>
      </c>
      <c r="U84" s="389">
        <f t="shared" ca="1" si="109"/>
        <v>0.31686380030554084</v>
      </c>
      <c r="V84" s="389">
        <f t="shared" ca="1" si="109"/>
        <v>0.31282146549871975</v>
      </c>
      <c r="W84" s="389">
        <f t="shared" ca="1" si="109"/>
        <v>0.28104373794882925</v>
      </c>
      <c r="X84" s="389">
        <f t="shared" ca="1" si="109"/>
        <v>0.27195251541358928</v>
      </c>
      <c r="Y84" s="389">
        <f t="shared" ca="1" si="109"/>
        <v>0.2615068322570866</v>
      </c>
    </row>
    <row r="86" spans="1:25" ht="15" x14ac:dyDescent="0.25">
      <c r="A86" s="487" t="s">
        <v>678</v>
      </c>
    </row>
    <row r="87" spans="1:25" x14ac:dyDescent="0.2">
      <c r="B87" s="256"/>
      <c r="C87" s="66"/>
      <c r="D87" s="476"/>
      <c r="E87" s="476"/>
      <c r="F87" s="476"/>
      <c r="G87" s="476"/>
      <c r="H87" s="476"/>
      <c r="I87" s="476"/>
      <c r="J87" s="476"/>
      <c r="K87" s="476"/>
      <c r="L87" s="476"/>
      <c r="M87" s="5" t="s">
        <v>871</v>
      </c>
    </row>
    <row r="88" spans="1:25" x14ac:dyDescent="0.2">
      <c r="B88" s="256">
        <v>1</v>
      </c>
      <c r="C88" s="476">
        <f>'IV-thickness'!C88</f>
        <v>0</v>
      </c>
      <c r="D88" s="476">
        <f>'IV-thickness'!D88</f>
        <v>0</v>
      </c>
      <c r="E88" s="476">
        <f>'IV-thickness'!E88</f>
        <v>0</v>
      </c>
      <c r="F88" s="476">
        <f>'IV-thickness'!F88</f>
        <v>0</v>
      </c>
      <c r="G88" s="476">
        <f>'IV-thickness'!G88</f>
        <v>0</v>
      </c>
      <c r="H88" s="476">
        <f>'IV-thickness'!H88</f>
        <v>0</v>
      </c>
      <c r="I88" s="476">
        <f>'IV-thickness'!I88</f>
        <v>0</v>
      </c>
      <c r="J88" s="476">
        <f>'IV-thickness'!J88</f>
        <v>0</v>
      </c>
      <c r="K88" s="476">
        <f>'IV-thickness'!K88</f>
        <v>0</v>
      </c>
      <c r="L88" s="476">
        <f>'IV-thickness'!L88</f>
        <v>0</v>
      </c>
      <c r="M88" s="5" t="s">
        <v>871</v>
      </c>
    </row>
    <row r="89" spans="1:25" x14ac:dyDescent="0.2">
      <c r="B89" s="256">
        <v>1</v>
      </c>
      <c r="C89" s="476">
        <f ca="1">'IV-thickness'!C89</f>
        <v>0.17785109573564148</v>
      </c>
      <c r="D89" s="476">
        <f ca="1">'IV-thickness'!D89</f>
        <v>0.18728983603112548</v>
      </c>
      <c r="E89" s="476">
        <f ca="1">'IV-thickness'!E89</f>
        <v>0.19438173556838789</v>
      </c>
      <c r="F89" s="476">
        <f ca="1">'IV-thickness'!F89</f>
        <v>0.19833559364786676</v>
      </c>
      <c r="G89" s="476">
        <f ca="1">'IV-thickness'!G89</f>
        <v>0.19876562129455314</v>
      </c>
      <c r="H89" s="476">
        <f ca="1">'IV-thickness'!H89</f>
        <v>0.19036472010327987</v>
      </c>
      <c r="I89" s="476">
        <f ca="1">'IV-thickness'!I89</f>
        <v>0.16995079276508432</v>
      </c>
      <c r="J89" s="476">
        <f ca="1">'IV-thickness'!J89</f>
        <v>0.15099895659302764</v>
      </c>
      <c r="K89" s="476">
        <f ca="1">'IV-thickness'!K89</f>
        <v>0.13111360294007657</v>
      </c>
      <c r="L89" s="476">
        <f ca="1">'IV-thickness'!L89</f>
        <v>0.11150798580943708</v>
      </c>
      <c r="M89" s="5" t="s">
        <v>871</v>
      </c>
    </row>
    <row r="90" spans="1:25" x14ac:dyDescent="0.2">
      <c r="B90" s="256">
        <v>2</v>
      </c>
      <c r="C90" s="476">
        <f ca="1">'IV-thickness'!C90</f>
        <v>0.23805842937762672</v>
      </c>
      <c r="D90" s="476">
        <f ca="1">'IV-thickness'!D90</f>
        <v>0.2488374064772651</v>
      </c>
      <c r="E90" s="476">
        <f ca="1">'IV-thickness'!E90</f>
        <v>0.25452528163612997</v>
      </c>
      <c r="F90" s="476">
        <f ca="1">'IV-thickness'!F90</f>
        <v>0.25367392374525366</v>
      </c>
      <c r="G90" s="476">
        <f ca="1">'IV-thickness'!G90</f>
        <v>0.24635664202300478</v>
      </c>
      <c r="H90" s="476">
        <f ca="1">'IV-thickness'!H90</f>
        <v>0.22491857707433949</v>
      </c>
      <c r="I90" s="476">
        <f ca="1">'IV-thickness'!I90</f>
        <v>0.18987090903332488</v>
      </c>
      <c r="J90" s="476">
        <f ca="1">'IV-thickness'!J90</f>
        <v>0.16279961856382005</v>
      </c>
      <c r="K90" s="476">
        <f ca="1">'IV-thickness'!K90</f>
        <v>0.13796714130108406</v>
      </c>
      <c r="L90" s="476">
        <f ca="1">'IV-thickness'!L90</f>
        <v>0.11549406761908426</v>
      </c>
      <c r="M90" s="5" t="s">
        <v>871</v>
      </c>
    </row>
    <row r="91" spans="1:25" x14ac:dyDescent="0.2">
      <c r="B91" s="256">
        <v>2</v>
      </c>
      <c r="C91" s="476">
        <f ca="1">'IV-thickness'!C91</f>
        <v>0.41590952511326817</v>
      </c>
      <c r="D91" s="476">
        <f ca="1">'IV-thickness'!D91</f>
        <v>0.43612724250839058</v>
      </c>
      <c r="E91" s="476">
        <f ca="1">'IV-thickness'!E91</f>
        <v>0.44890701720451787</v>
      </c>
      <c r="F91" s="476">
        <f ca="1">'IV-thickness'!F91</f>
        <v>0.45200951739312045</v>
      </c>
      <c r="G91" s="476">
        <f ca="1">'IV-thickness'!G91</f>
        <v>0.44512226331755789</v>
      </c>
      <c r="H91" s="476">
        <f ca="1">'IV-thickness'!H91</f>
        <v>0.41528329717761936</v>
      </c>
      <c r="I91" s="476">
        <f ca="1">'IV-thickness'!I91</f>
        <v>0.35982170179840922</v>
      </c>
      <c r="J91" s="476">
        <f ca="1">'IV-thickness'!J91</f>
        <v>0.31379857515684773</v>
      </c>
      <c r="K91" s="476">
        <f ca="1">'IV-thickness'!K91</f>
        <v>0.26908074424116063</v>
      </c>
      <c r="L91" s="476">
        <f ca="1">'IV-thickness'!L91</f>
        <v>0.22700205342852134</v>
      </c>
      <c r="M91" s="5" t="s">
        <v>871</v>
      </c>
    </row>
    <row r="92" spans="1:25" x14ac:dyDescent="0.2">
      <c r="B92" s="256">
        <v>2</v>
      </c>
      <c r="C92" s="476">
        <f ca="1">'IV-thickness'!C92</f>
        <v>0.58513110555882486</v>
      </c>
      <c r="D92" s="476">
        <f ca="1">'IV-thickness'!D92</f>
        <v>0.58156271696384687</v>
      </c>
      <c r="E92" s="476">
        <f ca="1">'IV-thickness'!E92</f>
        <v>0.57598082661282224</v>
      </c>
      <c r="F92" s="476">
        <f ca="1">'IV-thickness'!F92</f>
        <v>0.56894391472001016</v>
      </c>
      <c r="G92" s="476">
        <f ca="1">'IV-thickness'!G92</f>
        <v>0.55880073362486604</v>
      </c>
      <c r="H92" s="476">
        <f ca="1">'IV-thickness'!H92</f>
        <v>0.5185440543805393</v>
      </c>
      <c r="I92" s="476">
        <f ca="1">'IV-thickness'!I92</f>
        <v>0.4334359474209491</v>
      </c>
      <c r="J92" s="476">
        <f ca="1">'IV-thickness'!J92</f>
        <v>0.39116233308745685</v>
      </c>
      <c r="K92" s="476">
        <f ca="1">'IV-thickness'!K92</f>
        <v>0.32769343176487253</v>
      </c>
      <c r="L92" s="476">
        <f ca="1">'IV-thickness'!L92</f>
        <v>0.27148411696390679</v>
      </c>
      <c r="M92" s="5" t="s">
        <v>871</v>
      </c>
    </row>
    <row r="93" spans="1:25" x14ac:dyDescent="0.2">
      <c r="B93" s="256">
        <v>3</v>
      </c>
      <c r="C93" s="476">
        <f ca="1">'IV-thickness'!C93</f>
        <v>0.58513110555882486</v>
      </c>
      <c r="D93" s="476">
        <f ca="1">'IV-thickness'!D93</f>
        <v>0.58156271696384687</v>
      </c>
      <c r="E93" s="476">
        <f ca="1">'IV-thickness'!E93</f>
        <v>0.57598082661282224</v>
      </c>
      <c r="F93" s="476">
        <f ca="1">'IV-thickness'!F93</f>
        <v>0.56894391472001016</v>
      </c>
      <c r="G93" s="476">
        <f ca="1">'IV-thickness'!G93</f>
        <v>0.55880073362486604</v>
      </c>
      <c r="H93" s="476">
        <f ca="1">'IV-thickness'!H93</f>
        <v>0.5185440543805393</v>
      </c>
      <c r="I93" s="476">
        <f ca="1">'IV-thickness'!I93</f>
        <v>0.4334359474209491</v>
      </c>
      <c r="J93" s="476">
        <f ca="1">'IV-thickness'!J93</f>
        <v>0.39116233308745685</v>
      </c>
      <c r="K93" s="476">
        <f ca="1">'IV-thickness'!K93</f>
        <v>0.32769343176487253</v>
      </c>
      <c r="L93" s="476">
        <f ca="1">'IV-thickness'!L93</f>
        <v>0.27148411696390679</v>
      </c>
      <c r="M93" s="5" t="s">
        <v>871</v>
      </c>
    </row>
    <row r="94" spans="1:25" x14ac:dyDescent="0.2">
      <c r="B94" s="256">
        <v>3</v>
      </c>
      <c r="C94" s="476">
        <f ca="1">'IV-thickness'!C94</f>
        <v>0.59200000000288733</v>
      </c>
      <c r="D94" s="476">
        <f ca="1">'IV-thickness'!D94</f>
        <v>0.59200000000108455</v>
      </c>
      <c r="E94" s="476">
        <f ca="1">'IV-thickness'!E94</f>
        <v>0.59200000000312736</v>
      </c>
      <c r="F94" s="476">
        <f ca="1">'IV-thickness'!F94</f>
        <v>0.59200000001778097</v>
      </c>
      <c r="G94" s="476">
        <f ca="1">'IV-thickness'!G94</f>
        <v>0.59200000007087883</v>
      </c>
      <c r="H94" s="476">
        <f ca="1">'IV-thickness'!H94</f>
        <v>0.55583163684669157</v>
      </c>
      <c r="I94" s="476">
        <f ca="1">'IV-thickness'!I94</f>
        <v>0.46938156779395546</v>
      </c>
      <c r="J94" s="476">
        <f ca="1">'IV-thickness'!J94</f>
        <v>0.43124838902417051</v>
      </c>
      <c r="K94" s="476">
        <f ca="1">'IV-thickness'!K94</f>
        <v>0.36675348578826572</v>
      </c>
      <c r="L94" s="476">
        <f ca="1">'IV-thickness'!L94</f>
        <v>0.30966663781385401</v>
      </c>
      <c r="M94" s="5" t="s">
        <v>871</v>
      </c>
    </row>
    <row r="96" spans="1:25" x14ac:dyDescent="0.2">
      <c r="A96" s="17"/>
      <c r="B96" s="17"/>
      <c r="C96" s="17"/>
      <c r="D96" s="17"/>
      <c r="E96" s="17"/>
      <c r="F96" s="17"/>
      <c r="G96" s="17"/>
      <c r="H96" s="17"/>
      <c r="I96" s="17"/>
      <c r="J96" s="17"/>
      <c r="K96" s="17"/>
      <c r="L96" s="17"/>
    </row>
    <row r="97" spans="1:12" x14ac:dyDescent="0.2">
      <c r="A97" s="17"/>
      <c r="B97" s="17"/>
      <c r="C97" s="17"/>
      <c r="D97" s="17"/>
      <c r="E97" s="17"/>
      <c r="F97" s="17"/>
      <c r="G97" s="17"/>
      <c r="H97" s="17"/>
      <c r="I97" s="17"/>
      <c r="J97" s="17"/>
      <c r="K97" s="17"/>
      <c r="L97" s="17"/>
    </row>
    <row r="98" spans="1:12" ht="15" x14ac:dyDescent="0.25">
      <c r="A98" s="17"/>
      <c r="B98" s="17"/>
      <c r="C98" s="387"/>
      <c r="D98" s="387"/>
      <c r="E98" s="387"/>
      <c r="F98" s="387"/>
      <c r="G98" s="387"/>
      <c r="H98" s="387"/>
      <c r="I98" s="387"/>
      <c r="J98" s="387"/>
      <c r="K98" s="387"/>
      <c r="L98" s="387"/>
    </row>
    <row r="99" spans="1:12" x14ac:dyDescent="0.2">
      <c r="A99" s="17"/>
      <c r="B99" s="17"/>
      <c r="C99" s="52"/>
      <c r="D99" s="52"/>
      <c r="E99" s="52"/>
      <c r="F99" s="52"/>
      <c r="G99" s="52"/>
      <c r="H99" s="52"/>
      <c r="I99" s="52"/>
      <c r="J99" s="52"/>
      <c r="K99" s="52"/>
      <c r="L99" s="52"/>
    </row>
    <row r="100" spans="1:12" x14ac:dyDescent="0.2">
      <c r="A100" s="378"/>
      <c r="B100" s="17"/>
      <c r="C100" s="21"/>
      <c r="D100" s="21"/>
      <c r="E100" s="21"/>
      <c r="F100" s="21"/>
      <c r="G100" s="21"/>
      <c r="H100" s="21"/>
      <c r="I100" s="21"/>
      <c r="J100" s="21"/>
      <c r="K100" s="21"/>
      <c r="L100" s="21"/>
    </row>
    <row r="101" spans="1:12" x14ac:dyDescent="0.2">
      <c r="A101" s="17"/>
      <c r="B101" s="17"/>
      <c r="C101" s="21"/>
      <c r="D101" s="21"/>
      <c r="E101" s="21"/>
      <c r="F101" s="21"/>
      <c r="G101" s="21"/>
      <c r="H101" s="21"/>
      <c r="I101" s="21"/>
      <c r="J101" s="21"/>
      <c r="K101" s="21"/>
      <c r="L101" s="21"/>
    </row>
    <row r="102" spans="1:12" x14ac:dyDescent="0.2">
      <c r="A102" s="17"/>
      <c r="B102" s="17"/>
      <c r="C102" s="21"/>
      <c r="D102" s="21"/>
      <c r="E102" s="21"/>
      <c r="F102" s="21"/>
      <c r="G102" s="21"/>
      <c r="H102" s="21"/>
      <c r="I102" s="21"/>
      <c r="J102" s="21"/>
      <c r="K102" s="21"/>
      <c r="L102" s="21"/>
    </row>
    <row r="103" spans="1:12" x14ac:dyDescent="0.2">
      <c r="A103" s="157"/>
      <c r="B103" s="17"/>
      <c r="C103" s="394"/>
      <c r="D103" s="394"/>
      <c r="E103" s="394"/>
      <c r="F103" s="394"/>
      <c r="G103" s="394"/>
      <c r="H103" s="394"/>
      <c r="I103" s="394"/>
      <c r="J103" s="394"/>
      <c r="K103" s="394"/>
      <c r="L103" s="394"/>
    </row>
    <row r="104" spans="1:12" x14ac:dyDescent="0.2">
      <c r="A104" s="157"/>
      <c r="B104" s="17"/>
      <c r="C104" s="53"/>
      <c r="D104" s="53"/>
      <c r="E104" s="53"/>
      <c r="F104" s="53"/>
      <c r="G104" s="53"/>
      <c r="H104" s="53"/>
      <c r="I104" s="53"/>
      <c r="J104" s="53"/>
      <c r="K104" s="53"/>
      <c r="L104" s="53"/>
    </row>
    <row r="105" spans="1:12" x14ac:dyDescent="0.2">
      <c r="A105" s="17"/>
      <c r="B105" s="17"/>
      <c r="C105" s="52"/>
      <c r="D105" s="52"/>
      <c r="E105" s="52"/>
      <c r="F105" s="52"/>
      <c r="G105" s="52"/>
      <c r="H105" s="52"/>
      <c r="I105" s="52"/>
      <c r="J105" s="52"/>
      <c r="K105" s="52"/>
      <c r="L105" s="52"/>
    </row>
    <row r="106" spans="1:12" x14ac:dyDescent="0.2">
      <c r="A106" s="17"/>
      <c r="B106" s="17"/>
      <c r="C106" s="52"/>
      <c r="D106" s="52"/>
      <c r="E106" s="52"/>
      <c r="F106" s="52"/>
      <c r="G106" s="52"/>
      <c r="H106" s="52"/>
      <c r="I106" s="52"/>
      <c r="J106" s="52"/>
      <c r="K106" s="52"/>
      <c r="L106" s="52"/>
    </row>
    <row r="107" spans="1:12" x14ac:dyDescent="0.2">
      <c r="C107" s="256"/>
      <c r="D107" s="256"/>
      <c r="E107" s="256"/>
      <c r="F107" s="256"/>
      <c r="G107" s="256"/>
      <c r="H107" s="256"/>
      <c r="I107" s="256"/>
      <c r="J107" s="256"/>
      <c r="K107" s="256"/>
      <c r="L107" s="256"/>
    </row>
    <row r="108" spans="1:12" x14ac:dyDescent="0.2">
      <c r="C108" s="20"/>
      <c r="D108" s="20"/>
      <c r="E108" s="20"/>
      <c r="F108" s="20"/>
      <c r="G108" s="20"/>
      <c r="H108" s="20"/>
      <c r="I108" s="20"/>
      <c r="J108" s="20"/>
      <c r="K108" s="20"/>
      <c r="L108" s="20"/>
    </row>
    <row r="109" spans="1:12" x14ac:dyDescent="0.2">
      <c r="C109" s="212"/>
      <c r="D109" s="212"/>
      <c r="E109" s="212"/>
      <c r="F109" s="212"/>
      <c r="G109" s="212"/>
      <c r="H109" s="212"/>
      <c r="I109" s="212"/>
      <c r="J109" s="212"/>
      <c r="K109" s="212"/>
      <c r="L109" s="212"/>
    </row>
    <row r="110" spans="1:12" x14ac:dyDescent="0.2">
      <c r="C110" s="212"/>
      <c r="D110" s="212"/>
      <c r="E110" s="212"/>
      <c r="F110" s="212"/>
      <c r="G110" s="212"/>
      <c r="H110" s="212"/>
      <c r="I110" s="212"/>
      <c r="J110" s="212"/>
      <c r="K110" s="212"/>
      <c r="L110" s="212"/>
    </row>
    <row r="111" spans="1:12" x14ac:dyDescent="0.2">
      <c r="C111" s="4"/>
      <c r="D111" s="4"/>
      <c r="E111" s="4"/>
      <c r="F111" s="4"/>
      <c r="G111" s="4"/>
      <c r="H111" s="4"/>
      <c r="I111" s="4"/>
      <c r="J111" s="4"/>
      <c r="K111" s="4"/>
      <c r="L111" s="4"/>
    </row>
    <row r="120" spans="1:12" ht="15" x14ac:dyDescent="0.25">
      <c r="A120" s="327" t="s">
        <v>777</v>
      </c>
    </row>
    <row r="121" spans="1:12" ht="14.25" x14ac:dyDescent="0.2">
      <c r="A121" s="452"/>
    </row>
    <row r="122" spans="1:12" ht="16.5" x14ac:dyDescent="0.2">
      <c r="A122" s="456" t="s">
        <v>778</v>
      </c>
      <c r="C122">
        <f>'Battery Design'!F39</f>
        <v>1.6188480000000001</v>
      </c>
      <c r="D122">
        <f>'Battery Design'!G39</f>
        <v>1.6188480000000001</v>
      </c>
      <c r="E122">
        <f>'Battery Design'!H39</f>
        <v>1.6188480000000001</v>
      </c>
      <c r="F122">
        <f>'Battery Design'!I39</f>
        <v>1.6188480000000001</v>
      </c>
      <c r="G122">
        <f>'Battery Design'!J39</f>
        <v>1.6188480000000001</v>
      </c>
      <c r="H122">
        <f>'Battery Design'!K39</f>
        <v>1.6188480000000001</v>
      </c>
      <c r="I122">
        <f>'Battery Design'!L39</f>
        <v>1.6188480000000001</v>
      </c>
      <c r="J122">
        <f>'Battery Design'!M39</f>
        <v>1.6188480000000001</v>
      </c>
      <c r="K122">
        <f>'Battery Design'!N39</f>
        <v>1.6188480000000001</v>
      </c>
      <c r="L122">
        <f>'Battery Design'!O39</f>
        <v>1.6188480000000001</v>
      </c>
    </row>
    <row r="123" spans="1:12" ht="16.5" x14ac:dyDescent="0.2">
      <c r="A123" s="456" t="s">
        <v>866</v>
      </c>
      <c r="C123">
        <f>'Battery Design'!F41</f>
        <v>2.0463300000000002</v>
      </c>
      <c r="D123">
        <f>'Battery Design'!G41</f>
        <v>2.0463300000000002</v>
      </c>
      <c r="E123">
        <f>'Battery Design'!H41</f>
        <v>2.0463300000000002</v>
      </c>
      <c r="F123">
        <f>'Battery Design'!I41</f>
        <v>2.0463300000000002</v>
      </c>
      <c r="G123">
        <f>'Battery Design'!J41</f>
        <v>2.0463300000000002</v>
      </c>
      <c r="H123">
        <f>'Battery Design'!K41</f>
        <v>2.0463300000000002</v>
      </c>
      <c r="I123">
        <f>'Battery Design'!L41</f>
        <v>2.0463300000000002</v>
      </c>
      <c r="J123">
        <f>'Battery Design'!M41</f>
        <v>2.0463300000000002</v>
      </c>
      <c r="K123">
        <f>'Battery Design'!N41</f>
        <v>2.0463300000000002</v>
      </c>
      <c r="L123">
        <f>'Battery Design'!O41</f>
        <v>2.0463300000000002</v>
      </c>
    </row>
    <row r="124" spans="1:12" ht="14.25" x14ac:dyDescent="0.2">
      <c r="A124" s="456" t="s">
        <v>157</v>
      </c>
      <c r="C124" s="89">
        <f>'Battery Design'!F42</f>
        <v>1.5</v>
      </c>
      <c r="D124" s="89">
        <f>'Battery Design'!G42</f>
        <v>1.5</v>
      </c>
      <c r="E124" s="89">
        <f>'Battery Design'!H42</f>
        <v>1.5</v>
      </c>
      <c r="F124" s="89">
        <f>'Battery Design'!I42</f>
        <v>1.5</v>
      </c>
      <c r="G124" s="89">
        <f>'Battery Design'!J42</f>
        <v>1.5</v>
      </c>
      <c r="H124" s="89">
        <f>'Battery Design'!K42</f>
        <v>1.5</v>
      </c>
      <c r="I124" s="89">
        <f>'Battery Design'!L42</f>
        <v>1.5</v>
      </c>
      <c r="J124" s="89">
        <f>'Battery Design'!M42</f>
        <v>1.5</v>
      </c>
      <c r="K124" s="89">
        <f>'Battery Design'!N42</f>
        <v>1.5</v>
      </c>
      <c r="L124" s="89">
        <f>'Battery Design'!O42</f>
        <v>1.5</v>
      </c>
    </row>
    <row r="125" spans="1:12" ht="14.25" x14ac:dyDescent="0.2">
      <c r="A125" s="457" t="s">
        <v>867</v>
      </c>
      <c r="B125" s="453" t="s">
        <v>848</v>
      </c>
      <c r="C125" s="458">
        <f>'Battery Design'!F48</f>
        <v>200</v>
      </c>
      <c r="D125" s="458">
        <f>'Battery Design'!G48</f>
        <v>200</v>
      </c>
      <c r="E125" s="458">
        <f>'Battery Design'!H48</f>
        <v>200</v>
      </c>
      <c r="F125" s="458">
        <f>'Battery Design'!I48</f>
        <v>200</v>
      </c>
      <c r="G125" s="458">
        <f>'Battery Design'!J48</f>
        <v>200</v>
      </c>
      <c r="H125" s="458">
        <f>'Battery Design'!K48</f>
        <v>200</v>
      </c>
      <c r="I125" s="458">
        <f>'Battery Design'!L48</f>
        <v>200</v>
      </c>
      <c r="J125" s="458">
        <f>'Battery Design'!M48</f>
        <v>200</v>
      </c>
      <c r="K125" s="458">
        <f>'Battery Design'!N48</f>
        <v>200</v>
      </c>
      <c r="L125" s="458">
        <f>'Battery Design'!O48</f>
        <v>200</v>
      </c>
    </row>
    <row r="128" spans="1:12" ht="15" x14ac:dyDescent="0.25">
      <c r="A128" s="355" t="s">
        <v>868</v>
      </c>
    </row>
    <row r="129" spans="1:12" ht="14.25" x14ac:dyDescent="0.2">
      <c r="A129" s="452" t="s">
        <v>530</v>
      </c>
      <c r="C129">
        <f>'Battery Design'!F91</f>
        <v>1.1866473149492016</v>
      </c>
      <c r="D129">
        <f>'Battery Design'!G91</f>
        <v>1.1866473149492016</v>
      </c>
      <c r="E129">
        <f>'Battery Design'!H91</f>
        <v>1.1866473149492016</v>
      </c>
      <c r="F129">
        <f>'Battery Design'!I91</f>
        <v>1.1866473149492016</v>
      </c>
      <c r="G129">
        <f>'Battery Design'!J91</f>
        <v>1.1866473149492016</v>
      </c>
      <c r="H129">
        <f>'Battery Design'!K91</f>
        <v>1.1866473149492016</v>
      </c>
      <c r="I129">
        <f>'Battery Design'!L91</f>
        <v>1.1866473149492016</v>
      </c>
      <c r="J129">
        <f>'Battery Design'!M91</f>
        <v>1.1866473149492016</v>
      </c>
      <c r="K129">
        <f>'Battery Design'!N91</f>
        <v>1.1866473149492016</v>
      </c>
      <c r="L129">
        <f>'Battery Design'!O91</f>
        <v>1.1866473149492016</v>
      </c>
    </row>
    <row r="130" spans="1:12" ht="14.25" x14ac:dyDescent="0.2">
      <c r="A130" s="452" t="s">
        <v>869</v>
      </c>
      <c r="B130" s="453" t="s">
        <v>848</v>
      </c>
      <c r="C130">
        <f ca="1">C17/1000/C122*10000</f>
        <v>24.460965277363758</v>
      </c>
      <c r="D130">
        <f t="shared" ref="D130:L130" ca="1" si="110">D18/(D9*D122)*10000</f>
        <v>42.391397657552645</v>
      </c>
      <c r="E130">
        <f t="shared" ca="1" si="110"/>
        <v>70.140147468327115</v>
      </c>
      <c r="F130">
        <f t="shared" ca="1" si="110"/>
        <v>109.11551369705592</v>
      </c>
      <c r="G130">
        <f t="shared" ca="1" si="110"/>
        <v>160.5479357357377</v>
      </c>
      <c r="H130">
        <f t="shared" ca="1" si="110"/>
        <v>224.99813484889958</v>
      </c>
      <c r="I130">
        <f t="shared" ca="1" si="110"/>
        <v>299.35823591688057</v>
      </c>
      <c r="J130">
        <f t="shared" ca="1" si="110"/>
        <v>333.12284307865445</v>
      </c>
      <c r="K130">
        <f t="shared" ca="1" si="110"/>
        <v>423.10924547367046</v>
      </c>
      <c r="L130">
        <f t="shared" ca="1" si="110"/>
        <v>528.45498003626676</v>
      </c>
    </row>
    <row r="131" spans="1:12" ht="14.25" x14ac:dyDescent="0.2">
      <c r="A131" s="452" t="s">
        <v>791</v>
      </c>
      <c r="B131" s="453" t="s">
        <v>848</v>
      </c>
      <c r="C131">
        <f ca="1">C130*C129</f>
        <v>29.026538767449356</v>
      </c>
      <c r="D131">
        <f t="shared" ref="D131:L131" ca="1" si="111">D130*D129</f>
        <v>50.303638207278723</v>
      </c>
      <c r="E131">
        <f t="shared" ca="1" si="111"/>
        <v>83.231617663431408</v>
      </c>
      <c r="F131">
        <f t="shared" ca="1" si="111"/>
        <v>129.48163134791423</v>
      </c>
      <c r="G131">
        <f t="shared" ca="1" si="111"/>
        <v>190.51377686145011</v>
      </c>
      <c r="H131">
        <f t="shared" ca="1" si="111"/>
        <v>266.9934325870251</v>
      </c>
      <c r="I131">
        <f t="shared" ca="1" si="111"/>
        <v>355.232646858696</v>
      </c>
      <c r="J131">
        <f t="shared" ca="1" si="111"/>
        <v>395.29932728752954</v>
      </c>
      <c r="K131">
        <f t="shared" ca="1" si="111"/>
        <v>502.0814500715137</v>
      </c>
      <c r="L131">
        <f t="shared" ca="1" si="111"/>
        <v>627.08968313156993</v>
      </c>
    </row>
    <row r="132" spans="1:12" ht="15" x14ac:dyDescent="0.25">
      <c r="A132" s="355" t="s">
        <v>792</v>
      </c>
      <c r="B132" s="453" t="s">
        <v>793</v>
      </c>
      <c r="C132" s="454">
        <f t="shared" ref="C132:L132" ca="1" si="112">IF(C130&gt;C125,C125,C130)</f>
        <v>24.460965277363758</v>
      </c>
      <c r="D132" s="454">
        <f t="shared" ca="1" si="112"/>
        <v>42.391397657552645</v>
      </c>
      <c r="E132" s="454">
        <f t="shared" ca="1" si="112"/>
        <v>70.140147468327115</v>
      </c>
      <c r="F132" s="454">
        <f t="shared" ca="1" si="112"/>
        <v>109.11551369705592</v>
      </c>
      <c r="G132" s="454">
        <f t="shared" ca="1" si="112"/>
        <v>160.5479357357377</v>
      </c>
      <c r="H132" s="454">
        <f t="shared" ca="1" si="112"/>
        <v>200</v>
      </c>
      <c r="I132" s="454">
        <f t="shared" ca="1" si="112"/>
        <v>200</v>
      </c>
      <c r="J132" s="454">
        <f t="shared" ca="1" si="112"/>
        <v>200</v>
      </c>
      <c r="K132" s="454">
        <f t="shared" ca="1" si="112"/>
        <v>200</v>
      </c>
      <c r="L132" s="454">
        <f t="shared" ca="1" si="112"/>
        <v>200</v>
      </c>
    </row>
    <row r="133" spans="1:12" ht="15" x14ac:dyDescent="0.25">
      <c r="A133" s="355" t="s">
        <v>794</v>
      </c>
      <c r="B133" s="453" t="s">
        <v>795</v>
      </c>
      <c r="C133" s="454">
        <f ca="1">C132*C129</f>
        <v>29.026538767449356</v>
      </c>
      <c r="D133" s="454">
        <f t="shared" ref="D133:L133" ca="1" si="113">D132*D129</f>
        <v>50.303638207278723</v>
      </c>
      <c r="E133" s="454">
        <f t="shared" ca="1" si="113"/>
        <v>83.231617663431408</v>
      </c>
      <c r="F133" s="454">
        <f t="shared" ca="1" si="113"/>
        <v>129.48163134791423</v>
      </c>
      <c r="G133" s="454">
        <f t="shared" ca="1" si="113"/>
        <v>190.51377686145011</v>
      </c>
      <c r="H133" s="454">
        <f t="shared" ca="1" si="113"/>
        <v>237.32946298984032</v>
      </c>
      <c r="I133" s="454">
        <f t="shared" ca="1" si="113"/>
        <v>237.32946298984032</v>
      </c>
      <c r="J133" s="454">
        <f t="shared" ca="1" si="113"/>
        <v>237.32946298984032</v>
      </c>
      <c r="K133" s="454">
        <f t="shared" ca="1" si="113"/>
        <v>237.32946298984032</v>
      </c>
      <c r="L133" s="454">
        <f t="shared" ca="1" si="113"/>
        <v>237.32946298984032</v>
      </c>
    </row>
    <row r="134" spans="1:12" ht="17.25" x14ac:dyDescent="0.25">
      <c r="A134" s="455" t="s">
        <v>796</v>
      </c>
      <c r="B134" t="s">
        <v>797</v>
      </c>
      <c r="C134" s="477">
        <f ca="1">C18/(C132/10000*C122)</f>
        <v>51278.556463930741</v>
      </c>
      <c r="D134" s="477">
        <f t="shared" ref="D134:L134" ca="1" si="114">D18/(D132/10000*D122)</f>
        <v>29507.019914750545</v>
      </c>
      <c r="E134" s="477">
        <f t="shared" ca="1" si="114"/>
        <v>17762.263643045022</v>
      </c>
      <c r="F134" s="477">
        <f t="shared" ca="1" si="114"/>
        <v>11355.659756053608</v>
      </c>
      <c r="G134" s="477">
        <f t="shared" ca="1" si="114"/>
        <v>7767.1998582132082</v>
      </c>
      <c r="H134" s="477">
        <f t="shared" ca="1" si="114"/>
        <v>6185.4156428178885</v>
      </c>
      <c r="I134" s="477">
        <f t="shared" ca="1" si="114"/>
        <v>6071.4384200915574</v>
      </c>
      <c r="J134" s="477">
        <f t="shared" ca="1" si="114"/>
        <v>5927.6413190843869</v>
      </c>
      <c r="K134" s="477">
        <f t="shared" ca="1" si="114"/>
        <v>5841.0175160039207</v>
      </c>
      <c r="L134" s="477">
        <f t="shared" ca="1" si="114"/>
        <v>5767.0119020821649</v>
      </c>
    </row>
    <row r="135" spans="1:12" x14ac:dyDescent="0.2">
      <c r="A135" s="484" t="s">
        <v>798</v>
      </c>
      <c r="B135" t="s">
        <v>799</v>
      </c>
      <c r="C135" s="477">
        <f t="shared" ref="C135:L135" ca="1" si="115">C134/C136</f>
        <v>493.063042922411</v>
      </c>
      <c r="D135" s="477">
        <f t="shared" ca="1" si="115"/>
        <v>491.78366524584243</v>
      </c>
      <c r="E135" s="477">
        <f t="shared" ca="1" si="115"/>
        <v>493.39621230680615</v>
      </c>
      <c r="F135" s="477">
        <f t="shared" ca="1" si="115"/>
        <v>473.152489835567</v>
      </c>
      <c r="G135" s="477">
        <f t="shared" ca="1" si="115"/>
        <v>485.44999113832552</v>
      </c>
      <c r="H135" s="477">
        <f t="shared" ca="1" si="115"/>
        <v>441.8154030584206</v>
      </c>
      <c r="I135" s="477">
        <f t="shared" ca="1" si="115"/>
        <v>433.67417286368266</v>
      </c>
      <c r="J135" s="477">
        <f t="shared" ca="1" si="115"/>
        <v>493.97010992369889</v>
      </c>
      <c r="K135" s="477">
        <f t="shared" ca="1" si="115"/>
        <v>486.75145966699341</v>
      </c>
      <c r="L135" s="477">
        <f t="shared" ca="1" si="115"/>
        <v>480.58432517351372</v>
      </c>
    </row>
    <row r="136" spans="1:12" x14ac:dyDescent="0.2">
      <c r="A136" s="484" t="s">
        <v>808</v>
      </c>
      <c r="C136" s="454">
        <f t="shared" ref="C136:L136" ca="1" si="116">EVEN(C134/500)</f>
        <v>104</v>
      </c>
      <c r="D136" s="454">
        <f t="shared" ca="1" si="116"/>
        <v>60</v>
      </c>
      <c r="E136" s="454">
        <f t="shared" ca="1" si="116"/>
        <v>36</v>
      </c>
      <c r="F136" s="454">
        <f t="shared" ca="1" si="116"/>
        <v>24</v>
      </c>
      <c r="G136" s="454">
        <f t="shared" ca="1" si="116"/>
        <v>16</v>
      </c>
      <c r="H136" s="454">
        <f t="shared" ca="1" si="116"/>
        <v>14</v>
      </c>
      <c r="I136" s="454">
        <f t="shared" ca="1" si="116"/>
        <v>14</v>
      </c>
      <c r="J136" s="454">
        <f t="shared" ca="1" si="116"/>
        <v>12</v>
      </c>
      <c r="K136" s="454">
        <f t="shared" ca="1" si="116"/>
        <v>12</v>
      </c>
      <c r="L136" s="454">
        <f t="shared" ca="1" si="116"/>
        <v>12</v>
      </c>
    </row>
    <row r="137" spans="1:12" ht="14.25" x14ac:dyDescent="0.2">
      <c r="A137" s="455" t="s">
        <v>849</v>
      </c>
      <c r="B137" t="s">
        <v>850</v>
      </c>
      <c r="C137" s="478">
        <f ca="1">C134*C6/10000</f>
        <v>1230.6853551343377</v>
      </c>
      <c r="D137" s="478">
        <f t="shared" ref="D137:L137" ca="1" si="117">D134*D6/10000</f>
        <v>708.16847795401304</v>
      </c>
      <c r="E137" s="478">
        <f t="shared" ca="1" si="117"/>
        <v>426.29432743308053</v>
      </c>
      <c r="F137" s="478">
        <f t="shared" ca="1" si="117"/>
        <v>272.53583414528657</v>
      </c>
      <c r="G137" s="478">
        <f t="shared" ca="1" si="117"/>
        <v>186.41279659711699</v>
      </c>
      <c r="H137" s="478">
        <f t="shared" ca="1" si="117"/>
        <v>148.44997542762934</v>
      </c>
      <c r="I137" s="478">
        <f t="shared" ca="1" si="117"/>
        <v>145.71452208219739</v>
      </c>
      <c r="J137" s="478">
        <f t="shared" ca="1" si="117"/>
        <v>142.26339165802528</v>
      </c>
      <c r="K137" s="478">
        <f t="shared" ca="1" si="117"/>
        <v>140.1844203840941</v>
      </c>
      <c r="L137" s="478">
        <f t="shared" ca="1" si="117"/>
        <v>138.40828564997196</v>
      </c>
    </row>
    <row r="138" spans="1:12" ht="14.25" x14ac:dyDescent="0.2">
      <c r="A138" s="455" t="s">
        <v>809</v>
      </c>
      <c r="B138" t="s">
        <v>810</v>
      </c>
      <c r="C138" s="479">
        <f ca="1">'IV-thickness'!C14</f>
        <v>3.0103666820992621E-3</v>
      </c>
      <c r="D138" s="480">
        <f ca="1">'IV-thickness'!D14</f>
        <v>5.2315434879218669E-3</v>
      </c>
      <c r="E138" s="480">
        <f ca="1">'IV-thickness'!E14</f>
        <v>8.690742406788729E-3</v>
      </c>
      <c r="F138" s="480">
        <f ca="1">'IV-thickness'!F14</f>
        <v>1.3593860788423095E-2</v>
      </c>
      <c r="G138" s="480">
        <f ca="1">'IV-thickness'!G14</f>
        <v>1.987424821130505E-2</v>
      </c>
      <c r="H138" s="480">
        <f ca="1">'IV-thickness'!H14</f>
        <v>2.4530767848678903E-2</v>
      </c>
      <c r="I138" s="480">
        <f ca="1">'IV-thickness'!I14</f>
        <v>2.4041159045633941E-2</v>
      </c>
      <c r="J138" s="480">
        <f ca="1">'IV-thickness'!J14</f>
        <v>2.421133986808258E-2</v>
      </c>
      <c r="K138" s="480">
        <f ca="1">'IV-thickness'!K14</f>
        <v>2.390431060948851E-2</v>
      </c>
      <c r="L138" s="480">
        <f ca="1">'IV-thickness'!L14</f>
        <v>2.3635048867468967E-2</v>
      </c>
    </row>
    <row r="139" spans="1:12" ht="14.25" x14ac:dyDescent="0.2">
      <c r="A139" s="455" t="s">
        <v>851</v>
      </c>
      <c r="B139" t="s">
        <v>811</v>
      </c>
      <c r="C139" s="480">
        <f ca="1">'IV-thickness'!C12</f>
        <v>2.3679999999966981</v>
      </c>
      <c r="D139" s="480">
        <f ca="1">'IV-thickness'!D12</f>
        <v>2.3679999999986832</v>
      </c>
      <c r="E139" s="480">
        <f ca="1">'IV-thickness'!E12</f>
        <v>2.36799999999623</v>
      </c>
      <c r="F139" s="480">
        <f ca="1">'IV-thickness'!F12</f>
        <v>2.367999999979018</v>
      </c>
      <c r="G139" s="480">
        <f ca="1">'IV-thickness'!G12</f>
        <v>2.367999999918255</v>
      </c>
      <c r="H139" s="480">
        <f ca="1">'IV-thickness'!H12</f>
        <v>2.4041683631677246</v>
      </c>
      <c r="I139" s="480">
        <f ca="1">'IV-thickness'!I12</f>
        <v>2.4906184322201015</v>
      </c>
      <c r="J139" s="480">
        <f ca="1">'IV-thickness'!J12</f>
        <v>2.5287516109758297</v>
      </c>
      <c r="K139" s="480">
        <f ca="1">'IV-thickness'!K12</f>
        <v>2.5932465142117342</v>
      </c>
      <c r="L139" s="480">
        <f ca="1">'IV-thickness'!L12</f>
        <v>2.6503333621861458</v>
      </c>
    </row>
    <row r="140" spans="1:12" ht="14.25" x14ac:dyDescent="0.2">
      <c r="A140" s="455" t="s">
        <v>852</v>
      </c>
      <c r="B140" t="s">
        <v>812</v>
      </c>
      <c r="C140" s="480">
        <f ca="1">'IV-thickness'!P15</f>
        <v>2.6265354864729478</v>
      </c>
      <c r="D140" s="480">
        <f ca="1">'IV-thickness'!Q15</f>
        <v>2.6338410944971362</v>
      </c>
      <c r="E140" s="480">
        <f ca="1">'IV-thickness'!R15</f>
        <v>2.6444031650498445</v>
      </c>
      <c r="F140" s="480">
        <f ca="1">'IV-thickness'!S15</f>
        <v>2.658849661170481</v>
      </c>
      <c r="G140" s="480">
        <f ca="1">'IV-thickness'!T15</f>
        <v>2.6419430323886215</v>
      </c>
      <c r="H140" s="480">
        <f ca="1">'IV-thickness'!U15</f>
        <v>2.6631386092011762</v>
      </c>
      <c r="I140" s="480">
        <f ca="1">'IV-thickness'!V15</f>
        <v>2.7131328809716928</v>
      </c>
      <c r="J140" s="480">
        <f ca="1">'IV-thickness'!W15</f>
        <v>2.7572395148351108</v>
      </c>
      <c r="K140" s="480">
        <f ca="1">'IV-thickness'!X15</f>
        <v>2.7981300911986207</v>
      </c>
      <c r="L140" s="480">
        <f ca="1">'IV-thickness'!Y15</f>
        <v>2.8340373060176725</v>
      </c>
    </row>
    <row r="141" spans="1:12" ht="14.25" x14ac:dyDescent="0.2">
      <c r="A141" s="455" t="s">
        <v>813</v>
      </c>
      <c r="B141" t="s">
        <v>814</v>
      </c>
      <c r="C141" s="469">
        <f ca="1">'IV-thickness'!C83</f>
        <v>196.65378424600695</v>
      </c>
      <c r="D141" s="469">
        <f ca="1">'IV-thickness'!D83</f>
        <v>113.15972071489854</v>
      </c>
      <c r="E141" s="469">
        <f ca="1">'IV-thickness'!E83</f>
        <v>68.118461265252677</v>
      </c>
      <c r="F141" s="469">
        <f ca="1">'IV-thickness'!F83</f>
        <v>43.549070365789163</v>
      </c>
      <c r="G141" s="469">
        <f ca="1">'IV-thickness'!G83</f>
        <v>29.787290255040318</v>
      </c>
      <c r="H141" s="469">
        <f ca="1">'IV-thickness'!H83</f>
        <v>22.658550285723333</v>
      </c>
      <c r="I141" s="469">
        <f ca="1">'IV-thickness'!I83</f>
        <v>19.524082299983903</v>
      </c>
      <c r="J141" s="469">
        <f ca="1">'IV-thickness'!J83</f>
        <v>17.811834924207488</v>
      </c>
      <c r="K141" s="469">
        <f ca="1">'IV-thickness'!K83</f>
        <v>15.342566944502787</v>
      </c>
      <c r="L141" s="469">
        <f ca="1">'IV-thickness'!L83</f>
        <v>13.102009627747202</v>
      </c>
    </row>
    <row r="142" spans="1:12" ht="14.25" x14ac:dyDescent="0.2">
      <c r="A142" s="455" t="s">
        <v>815</v>
      </c>
      <c r="B142" t="s">
        <v>814</v>
      </c>
      <c r="C142" s="469">
        <f ca="1">'IV-thickness'!P83</f>
        <v>421.05610074634569</v>
      </c>
      <c r="D142" s="469">
        <f ca="1">'IV-thickness'!Q83</f>
        <v>237.63775273138393</v>
      </c>
      <c r="E142" s="469">
        <f ca="1">'IV-thickness'!R83</f>
        <v>138.97282818022774</v>
      </c>
      <c r="F142" s="469">
        <f ca="1">'IV-thickness'!S83</f>
        <v>85.243404371096304</v>
      </c>
      <c r="G142" s="469">
        <f ca="1">'IV-thickness'!T83</f>
        <v>61.187698684317283</v>
      </c>
      <c r="H142" s="469">
        <f ca="1">'IV-thickness'!U83</f>
        <v>45.844543588839933</v>
      </c>
      <c r="I142" s="469">
        <f ca="1">'IV-thickness'!V83</f>
        <v>38.123887948144059</v>
      </c>
      <c r="J142" s="469">
        <f ca="1">'IV-thickness'!W83</f>
        <v>31.312464969671176</v>
      </c>
      <c r="K142" s="469">
        <f ca="1">'IV-thickness'!X83</f>
        <v>24.997700340207871</v>
      </c>
      <c r="L142" s="469">
        <f ca="1">'IV-thickness'!Y83</f>
        <v>19.45252024623797</v>
      </c>
    </row>
    <row r="143" spans="1:12" ht="14.25" x14ac:dyDescent="0.2">
      <c r="A143" s="455" t="s">
        <v>816</v>
      </c>
      <c r="C143" s="481">
        <f t="shared" ref="C143" ca="1" si="118">C139/C8</f>
        <v>0.79999999999888449</v>
      </c>
      <c r="D143" s="481">
        <f t="shared" ref="D143:L143" ca="1" si="119">D139/D8</f>
        <v>0.79999999999955518</v>
      </c>
      <c r="E143" s="481">
        <f t="shared" ca="1" si="119"/>
        <v>0.7999999999987264</v>
      </c>
      <c r="F143" s="481">
        <f t="shared" ca="1" si="119"/>
        <v>0.79999999999291149</v>
      </c>
      <c r="G143" s="481">
        <f t="shared" ca="1" si="119"/>
        <v>0.79999999997238347</v>
      </c>
      <c r="H143" s="481">
        <f t="shared" ca="1" si="119"/>
        <v>0.81221904161071778</v>
      </c>
      <c r="I143" s="481">
        <f t="shared" ca="1" si="119"/>
        <v>0.8414251460203046</v>
      </c>
      <c r="J143" s="481">
        <f t="shared" ca="1" si="119"/>
        <v>0.85430797668102354</v>
      </c>
      <c r="K143" s="481">
        <f t="shared" ca="1" si="119"/>
        <v>0.87609679534180207</v>
      </c>
      <c r="L143" s="481">
        <f t="shared" ca="1" si="119"/>
        <v>0.89538289263045467</v>
      </c>
    </row>
    <row r="144" spans="1:12" x14ac:dyDescent="0.2">
      <c r="A144" s="58" t="s">
        <v>872</v>
      </c>
      <c r="B144" s="5"/>
      <c r="C144" s="488">
        <f ca="1">C140/C8</f>
        <v>0.88734306975437427</v>
      </c>
      <c r="D144" s="488">
        <f t="shared" ref="D144:L144" ca="1" si="120">D140/D8</f>
        <v>0.88981118057335684</v>
      </c>
      <c r="E144" s="488">
        <f t="shared" ca="1" si="120"/>
        <v>0.89337944765197452</v>
      </c>
      <c r="F144" s="488">
        <f t="shared" ca="1" si="120"/>
        <v>0.8982600206657031</v>
      </c>
      <c r="G144" s="488">
        <f t="shared" ca="1" si="120"/>
        <v>0.89254832175291265</v>
      </c>
      <c r="H144" s="488">
        <f t="shared" ca="1" si="120"/>
        <v>0.89970898959499201</v>
      </c>
      <c r="I144" s="488">
        <f t="shared" ca="1" si="120"/>
        <v>0.91659894627422056</v>
      </c>
      <c r="J144" s="488">
        <f t="shared" ca="1" si="120"/>
        <v>0.93149983609294285</v>
      </c>
      <c r="K144" s="488">
        <f t="shared" ca="1" si="120"/>
        <v>0.94531421999953402</v>
      </c>
      <c r="L144" s="488">
        <f t="shared" ca="1" si="120"/>
        <v>0.9574450358167812</v>
      </c>
    </row>
    <row r="145" spans="1:12" ht="14.25" x14ac:dyDescent="0.2">
      <c r="A145" s="489" t="s">
        <v>873</v>
      </c>
      <c r="B145" s="5"/>
      <c r="C145" s="5" t="str">
        <f t="shared" ref="C145:L145" ca="1" si="121">IF(AND(ABS(C134-C9)&lt;0.001,ABS(C141-C83)&lt;0.001,ABS(C142-P83)&lt;0.001),"OK","THICKNESS-LIM")</f>
        <v>OK</v>
      </c>
      <c r="D145" s="5" t="str">
        <f t="shared" ca="1" si="121"/>
        <v>OK</v>
      </c>
      <c r="E145" s="5" t="str">
        <f t="shared" ca="1" si="121"/>
        <v>OK</v>
      </c>
      <c r="F145" s="5" t="str">
        <f t="shared" ca="1" si="121"/>
        <v>OK</v>
      </c>
      <c r="G145" s="5" t="str">
        <f t="shared" ca="1" si="121"/>
        <v>OK</v>
      </c>
      <c r="H145" s="5" t="str">
        <f t="shared" ca="1" si="121"/>
        <v>THICKNESS-LIM</v>
      </c>
      <c r="I145" s="5" t="str">
        <f t="shared" ca="1" si="121"/>
        <v>THICKNESS-LIM</v>
      </c>
      <c r="J145" s="5" t="str">
        <f t="shared" ca="1" si="121"/>
        <v>THICKNESS-LIM</v>
      </c>
      <c r="K145" s="5" t="str">
        <f t="shared" ca="1" si="121"/>
        <v>THICKNESS-LIM</v>
      </c>
      <c r="L145" s="5" t="str">
        <f t="shared" ca="1" si="121"/>
        <v>THICKNESS-LIM</v>
      </c>
    </row>
    <row r="146" spans="1:12" ht="14.25" x14ac:dyDescent="0.2">
      <c r="A146" s="452"/>
    </row>
    <row r="147" spans="1:12" ht="14.25" x14ac:dyDescent="0.2">
      <c r="A147" s="456"/>
    </row>
  </sheetData>
  <phoneticPr fontId="44" type="noConversion"/>
  <pageMargins left="0.7" right="0.7" top="0.75" bottom="0.75" header="0.3" footer="0.3"/>
  <pageSetup orientation="portrait" r:id="rId1"/>
  <drawing r:id="rId2"/>
  <legacyDrawing r:id="rId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1"/>
  <sheetViews>
    <sheetView workbookViewId="0"/>
  </sheetViews>
  <sheetFormatPr defaultColWidth="8.85546875" defaultRowHeight="12.75" x14ac:dyDescent="0.2"/>
  <cols>
    <col min="1" max="1" width="31.42578125" customWidth="1"/>
    <col min="2" max="2" width="12.7109375" customWidth="1"/>
    <col min="3" max="12" width="19.140625" customWidth="1"/>
    <col min="13" max="13" width="8.42578125" customWidth="1"/>
    <col min="14" max="14" width="34.85546875" customWidth="1"/>
    <col min="16" max="25" width="19" customWidth="1"/>
  </cols>
  <sheetData>
    <row r="1" spans="1:25" ht="15" x14ac:dyDescent="0.25">
      <c r="A1" s="367" t="s">
        <v>875</v>
      </c>
    </row>
    <row r="2" spans="1:25" ht="15" x14ac:dyDescent="0.25">
      <c r="B2" s="320" t="s">
        <v>733</v>
      </c>
      <c r="C2" s="459">
        <f t="shared" ref="C2:L2" ca="1" si="0">C9/(C10*C11)</f>
        <v>1</v>
      </c>
      <c r="D2" s="459">
        <f t="shared" ref="D2:H2" ca="1" si="1">D9/(D10*D11)</f>
        <v>1</v>
      </c>
      <c r="E2" s="459">
        <f t="shared" ca="1" si="1"/>
        <v>1</v>
      </c>
      <c r="F2" s="459">
        <f t="shared" ca="1" si="1"/>
        <v>1</v>
      </c>
      <c r="G2" s="459">
        <f t="shared" ca="1" si="1"/>
        <v>1</v>
      </c>
      <c r="H2" s="459">
        <f t="shared" ca="1" si="1"/>
        <v>1</v>
      </c>
      <c r="I2" s="459">
        <f t="shared" ca="1" si="0"/>
        <v>1</v>
      </c>
      <c r="J2" s="459">
        <f t="shared" ca="1" si="0"/>
        <v>1</v>
      </c>
      <c r="K2" s="459">
        <f t="shared" ca="1" si="0"/>
        <v>1</v>
      </c>
      <c r="L2" s="459">
        <f t="shared" ca="1" si="0"/>
        <v>1</v>
      </c>
      <c r="N2" s="367" t="s">
        <v>874</v>
      </c>
    </row>
    <row r="3" spans="1:25" x14ac:dyDescent="0.2">
      <c r="A3" t="s">
        <v>622</v>
      </c>
      <c r="B3" t="s">
        <v>623</v>
      </c>
      <c r="C3" s="462">
        <f>'Iterative I-V'!C3</f>
        <v>128</v>
      </c>
      <c r="D3" s="471">
        <f>'Iterative I-V'!D3</f>
        <v>128</v>
      </c>
      <c r="E3" s="471">
        <f>'Iterative I-V'!E3</f>
        <v>128</v>
      </c>
      <c r="F3" s="471">
        <f>'Iterative I-V'!F3</f>
        <v>128</v>
      </c>
      <c r="G3" s="471">
        <f>'Iterative I-V'!G3</f>
        <v>128</v>
      </c>
      <c r="H3" s="471">
        <f>'Iterative I-V'!H3</f>
        <v>128</v>
      </c>
      <c r="I3" s="465">
        <f>'Iterative I-V'!I3</f>
        <v>128</v>
      </c>
      <c r="J3" s="465">
        <f>'Iterative I-V'!J3</f>
        <v>127</v>
      </c>
      <c r="K3" s="465">
        <f>'Iterative I-V'!K3</f>
        <v>127</v>
      </c>
      <c r="L3" s="465">
        <f>'Iterative I-V'!L3</f>
        <v>127</v>
      </c>
      <c r="N3" t="s">
        <v>622</v>
      </c>
      <c r="O3" t="s">
        <v>623</v>
      </c>
      <c r="P3" s="256">
        <f t="shared" ref="P3:Y3" si="2">C3</f>
        <v>128</v>
      </c>
      <c r="Q3" s="256">
        <f t="shared" si="2"/>
        <v>128</v>
      </c>
      <c r="R3" s="256">
        <f t="shared" si="2"/>
        <v>128</v>
      </c>
      <c r="S3" s="256">
        <f t="shared" si="2"/>
        <v>128</v>
      </c>
      <c r="T3" s="256">
        <f t="shared" si="2"/>
        <v>128</v>
      </c>
      <c r="U3" s="256">
        <f t="shared" si="2"/>
        <v>128</v>
      </c>
      <c r="V3" s="256">
        <f t="shared" si="2"/>
        <v>128</v>
      </c>
      <c r="W3" s="256">
        <f t="shared" si="2"/>
        <v>127</v>
      </c>
      <c r="X3" s="256">
        <f t="shared" si="2"/>
        <v>127</v>
      </c>
      <c r="Y3" s="256">
        <f t="shared" si="2"/>
        <v>127</v>
      </c>
    </row>
    <row r="4" spans="1:25" x14ac:dyDescent="0.2">
      <c r="A4" t="s">
        <v>624</v>
      </c>
      <c r="B4" t="s">
        <v>625</v>
      </c>
      <c r="C4" s="463">
        <f>'Iterative I-V'!C4</f>
        <v>87.73</v>
      </c>
      <c r="D4" s="473">
        <f>'Iterative I-V'!D4</f>
        <v>87.73</v>
      </c>
      <c r="E4" s="473">
        <f>'Iterative I-V'!E4</f>
        <v>87.73</v>
      </c>
      <c r="F4" s="473">
        <f>'Iterative I-V'!F4</f>
        <v>87.73</v>
      </c>
      <c r="G4" s="473">
        <f>'Iterative I-V'!G4</f>
        <v>87.73</v>
      </c>
      <c r="H4" s="473">
        <f>'Iterative I-V'!H4</f>
        <v>87.55</v>
      </c>
      <c r="I4" s="466">
        <f>'Iterative I-V'!I4</f>
        <v>87.25</v>
      </c>
      <c r="J4" s="466">
        <f>'Iterative I-V'!J4</f>
        <v>87.1</v>
      </c>
      <c r="K4" s="466">
        <f>'Iterative I-V'!K4</f>
        <v>86.9</v>
      </c>
      <c r="L4" s="466">
        <f>'Iterative I-V'!L4</f>
        <v>86.7</v>
      </c>
      <c r="N4" t="s">
        <v>624</v>
      </c>
      <c r="O4" t="s">
        <v>625</v>
      </c>
      <c r="P4" s="256">
        <f t="shared" ref="P4:Y4" si="3">C4</f>
        <v>87.73</v>
      </c>
      <c r="Q4" s="256">
        <f t="shared" si="3"/>
        <v>87.73</v>
      </c>
      <c r="R4" s="256">
        <f t="shared" si="3"/>
        <v>87.73</v>
      </c>
      <c r="S4" s="256">
        <f t="shared" si="3"/>
        <v>87.73</v>
      </c>
      <c r="T4" s="256">
        <f t="shared" si="3"/>
        <v>87.73</v>
      </c>
      <c r="U4" s="256">
        <f t="shared" si="3"/>
        <v>87.55</v>
      </c>
      <c r="V4" s="256">
        <f t="shared" si="3"/>
        <v>87.25</v>
      </c>
      <c r="W4" s="256">
        <f t="shared" si="3"/>
        <v>87.1</v>
      </c>
      <c r="X4" s="256">
        <f t="shared" si="3"/>
        <v>86.9</v>
      </c>
      <c r="Y4" s="256">
        <f t="shared" si="3"/>
        <v>86.7</v>
      </c>
    </row>
    <row r="5" spans="1:25" x14ac:dyDescent="0.2">
      <c r="A5" t="s">
        <v>690</v>
      </c>
      <c r="B5" t="s">
        <v>625</v>
      </c>
      <c r="C5" s="463">
        <f ca="1">'Iterative I-V'!C5</f>
        <v>87.729999999390046</v>
      </c>
      <c r="D5" s="473">
        <f ca="1">'Iterative I-V'!D5</f>
        <v>87.729999999998071</v>
      </c>
      <c r="E5" s="473">
        <f ca="1">'Iterative I-V'!E5</f>
        <v>87.730000000001695</v>
      </c>
      <c r="F5" s="473">
        <f ca="1">'Iterative I-V'!F5</f>
        <v>87.730000000001723</v>
      </c>
      <c r="G5" s="473">
        <f ca="1">'Iterative I-V'!G5</f>
        <v>87.730000000022955</v>
      </c>
      <c r="H5" s="473">
        <f ca="1">'Iterative I-V'!H5</f>
        <v>87.550000006358232</v>
      </c>
      <c r="I5" s="466">
        <f ca="1">'Iterative I-V'!I5</f>
        <v>87.250001303786391</v>
      </c>
      <c r="J5" s="466">
        <f ca="1">'Iterative I-V'!J5</f>
        <v>87.099999776668611</v>
      </c>
      <c r="K5" s="466">
        <f ca="1">'Iterative I-V'!K5</f>
        <v>86.900001682513548</v>
      </c>
      <c r="L5" s="466">
        <f ca="1">'Iterative I-V'!L5</f>
        <v>86.700017709567959</v>
      </c>
      <c r="M5" s="252"/>
      <c r="P5" s="256"/>
      <c r="Q5" s="256"/>
      <c r="R5" s="256"/>
      <c r="S5" s="256"/>
      <c r="T5" s="256"/>
      <c r="U5" s="256"/>
      <c r="V5" s="256"/>
      <c r="W5" s="256"/>
      <c r="X5" s="256"/>
      <c r="Y5" s="256"/>
    </row>
    <row r="6" spans="1:25" x14ac:dyDescent="0.2">
      <c r="A6" t="s">
        <v>716</v>
      </c>
      <c r="C6" s="462">
        <f>'Iterative I-V'!C6</f>
        <v>240</v>
      </c>
      <c r="D6" s="471">
        <f>'Iterative I-V'!D6</f>
        <v>240</v>
      </c>
      <c r="E6" s="471">
        <f>'Iterative I-V'!E6</f>
        <v>240</v>
      </c>
      <c r="F6" s="471">
        <f>'Iterative I-V'!F6</f>
        <v>240</v>
      </c>
      <c r="G6" s="471">
        <f>'Iterative I-V'!G6</f>
        <v>240</v>
      </c>
      <c r="H6" s="471">
        <f>'Iterative I-V'!H6</f>
        <v>240</v>
      </c>
      <c r="I6" s="465">
        <f>'Iterative I-V'!I6</f>
        <v>240</v>
      </c>
      <c r="J6" s="465">
        <f>'Iterative I-V'!J6</f>
        <v>240</v>
      </c>
      <c r="K6" s="465">
        <f>'Iterative I-V'!K6</f>
        <v>240</v>
      </c>
      <c r="L6" s="465">
        <f>'Iterative I-V'!L6</f>
        <v>240</v>
      </c>
      <c r="M6" s="256"/>
      <c r="N6" t="s">
        <v>716</v>
      </c>
      <c r="P6" s="256">
        <f t="shared" ref="P6:Y12" si="4">C6</f>
        <v>240</v>
      </c>
      <c r="Q6" s="256">
        <f t="shared" si="4"/>
        <v>240</v>
      </c>
      <c r="R6" s="256">
        <f t="shared" si="4"/>
        <v>240</v>
      </c>
      <c r="S6" s="256">
        <f t="shared" si="4"/>
        <v>240</v>
      </c>
      <c r="T6" s="256">
        <f t="shared" si="4"/>
        <v>240</v>
      </c>
      <c r="U6" s="256">
        <f t="shared" si="4"/>
        <v>240</v>
      </c>
      <c r="V6" s="256">
        <f t="shared" si="4"/>
        <v>240</v>
      </c>
      <c r="W6" s="256">
        <f t="shared" si="4"/>
        <v>240</v>
      </c>
      <c r="X6" s="256">
        <f t="shared" si="4"/>
        <v>240</v>
      </c>
      <c r="Y6" s="256">
        <f t="shared" si="4"/>
        <v>240</v>
      </c>
    </row>
    <row r="7" spans="1:25" ht="17.25" x14ac:dyDescent="0.25">
      <c r="A7" t="s">
        <v>717</v>
      </c>
      <c r="B7" s="17" t="s">
        <v>718</v>
      </c>
      <c r="C7" s="462">
        <f ca="1">'Iterative I-V'!C137</f>
        <v>1230.6853551343377</v>
      </c>
      <c r="D7" s="471">
        <f ca="1">'Iterative I-V'!D137</f>
        <v>708.16847795401304</v>
      </c>
      <c r="E7" s="471">
        <f ca="1">'Iterative I-V'!E137</f>
        <v>426.29432743308053</v>
      </c>
      <c r="F7" s="471">
        <f ca="1">'Iterative I-V'!F137</f>
        <v>272.53583414528657</v>
      </c>
      <c r="G7" s="471">
        <f ca="1">'Iterative I-V'!G137</f>
        <v>186.41279659711699</v>
      </c>
      <c r="H7" s="471">
        <f ca="1">'Iterative I-V'!H137</f>
        <v>148.44997542762934</v>
      </c>
      <c r="I7" s="465">
        <f ca="1">'Iterative I-V'!I137</f>
        <v>145.71452208219739</v>
      </c>
      <c r="J7" s="465">
        <f ca="1">'Iterative I-V'!J137</f>
        <v>142.26339165802528</v>
      </c>
      <c r="K7" s="465">
        <f ca="1">'Iterative I-V'!K137</f>
        <v>140.1844203840941</v>
      </c>
      <c r="L7" s="465">
        <f ca="1">'Iterative I-V'!L137</f>
        <v>138.40828564997196</v>
      </c>
      <c r="N7" t="s">
        <v>717</v>
      </c>
      <c r="O7" s="17" t="s">
        <v>718</v>
      </c>
      <c r="P7" s="4">
        <f t="shared" ca="1" si="4"/>
        <v>1230.6853551343377</v>
      </c>
      <c r="Q7" s="465">
        <f t="shared" ca="1" si="4"/>
        <v>708.16847795401304</v>
      </c>
      <c r="R7" s="465">
        <f t="shared" ca="1" si="4"/>
        <v>426.29432743308053</v>
      </c>
      <c r="S7" s="465">
        <f t="shared" ca="1" si="4"/>
        <v>272.53583414528657</v>
      </c>
      <c r="T7" s="465">
        <f t="shared" ca="1" si="4"/>
        <v>186.41279659711699</v>
      </c>
      <c r="U7" s="465">
        <f t="shared" ca="1" si="4"/>
        <v>148.44997542762934</v>
      </c>
      <c r="V7" s="465">
        <f t="shared" ca="1" si="4"/>
        <v>145.71452208219739</v>
      </c>
      <c r="W7" s="471">
        <f t="shared" ca="1" si="4"/>
        <v>142.26339165802528</v>
      </c>
      <c r="X7" s="471">
        <f t="shared" ca="1" si="4"/>
        <v>140.1844203840941</v>
      </c>
      <c r="Y7" s="471">
        <f t="shared" ca="1" si="4"/>
        <v>138.40828564997196</v>
      </c>
    </row>
    <row r="8" spans="1:25" x14ac:dyDescent="0.2">
      <c r="A8" t="s">
        <v>719</v>
      </c>
      <c r="B8" t="s">
        <v>720</v>
      </c>
      <c r="C8" s="464">
        <f>'Iterative I-V'!C8</f>
        <v>2.96</v>
      </c>
      <c r="D8" s="464">
        <f>'Iterative I-V'!D8</f>
        <v>2.96</v>
      </c>
      <c r="E8" s="464">
        <f>'Iterative I-V'!E8</f>
        <v>2.96</v>
      </c>
      <c r="F8" s="464">
        <f>'Iterative I-V'!F8</f>
        <v>2.96</v>
      </c>
      <c r="G8" s="464">
        <f>'Iterative I-V'!G8</f>
        <v>2.96</v>
      </c>
      <c r="H8" s="464">
        <f>'Iterative I-V'!H8</f>
        <v>2.96</v>
      </c>
      <c r="I8" s="464">
        <f>'Iterative I-V'!I8</f>
        <v>2.96</v>
      </c>
      <c r="J8" s="464">
        <f>'Iterative I-V'!J8</f>
        <v>2.96</v>
      </c>
      <c r="K8" s="464">
        <f>'Iterative I-V'!K8</f>
        <v>2.96</v>
      </c>
      <c r="L8" s="464">
        <f>'Iterative I-V'!L8</f>
        <v>2.96</v>
      </c>
      <c r="N8" t="s">
        <v>719</v>
      </c>
      <c r="O8" t="s">
        <v>720</v>
      </c>
      <c r="P8" s="256">
        <f t="shared" si="4"/>
        <v>2.96</v>
      </c>
      <c r="Q8" s="256">
        <f t="shared" si="4"/>
        <v>2.96</v>
      </c>
      <c r="R8" s="256">
        <f t="shared" si="4"/>
        <v>2.96</v>
      </c>
      <c r="S8" s="256">
        <f t="shared" si="4"/>
        <v>2.96</v>
      </c>
      <c r="T8" s="256">
        <f t="shared" si="4"/>
        <v>2.96</v>
      </c>
      <c r="U8" s="256">
        <f t="shared" si="4"/>
        <v>2.96</v>
      </c>
      <c r="V8" s="256">
        <f t="shared" si="4"/>
        <v>2.96</v>
      </c>
      <c r="W8" s="256">
        <f t="shared" si="4"/>
        <v>2.96</v>
      </c>
      <c r="X8" s="256">
        <f t="shared" si="4"/>
        <v>2.96</v>
      </c>
      <c r="Y8" s="256">
        <f t="shared" si="4"/>
        <v>2.96</v>
      </c>
    </row>
    <row r="9" spans="1:25" ht="17.25" x14ac:dyDescent="0.25">
      <c r="A9" t="s">
        <v>721</v>
      </c>
      <c r="B9" s="17" t="s">
        <v>722</v>
      </c>
      <c r="C9" s="449">
        <f ca="1">'Iterative I-V'!C134</f>
        <v>51278.556463930741</v>
      </c>
      <c r="D9" s="471">
        <f ca="1">'Iterative I-V'!D134</f>
        <v>29507.019914750545</v>
      </c>
      <c r="E9" s="471">
        <f ca="1">'Iterative I-V'!E134</f>
        <v>17762.263643045022</v>
      </c>
      <c r="F9" s="471">
        <f ca="1">'Iterative I-V'!F134</f>
        <v>11355.659756053608</v>
      </c>
      <c r="G9" s="471">
        <f ca="1">'Iterative I-V'!G134</f>
        <v>7767.1998582132082</v>
      </c>
      <c r="H9" s="471">
        <f ca="1">'Iterative I-V'!H134</f>
        <v>6185.4156428178885</v>
      </c>
      <c r="I9" s="465">
        <f ca="1">'Iterative I-V'!I134</f>
        <v>6071.4384200915574</v>
      </c>
      <c r="J9" s="465">
        <f ca="1">'Iterative I-V'!J134</f>
        <v>5927.6413190843869</v>
      </c>
      <c r="K9" s="465">
        <f ca="1">'Iterative I-V'!K134</f>
        <v>5841.0175160039207</v>
      </c>
      <c r="L9" s="465">
        <f ca="1">'Iterative I-V'!L134</f>
        <v>5767.0119020821649</v>
      </c>
      <c r="N9" t="s">
        <v>721</v>
      </c>
      <c r="O9" s="17" t="s">
        <v>722</v>
      </c>
      <c r="P9" s="4">
        <f t="shared" ca="1" si="4"/>
        <v>51278.556463930741</v>
      </c>
      <c r="Q9" s="465">
        <f t="shared" ca="1" si="4"/>
        <v>29507.019914750545</v>
      </c>
      <c r="R9" s="465">
        <f t="shared" ca="1" si="4"/>
        <v>17762.263643045022</v>
      </c>
      <c r="S9" s="465">
        <f t="shared" ca="1" si="4"/>
        <v>11355.659756053608</v>
      </c>
      <c r="T9" s="465">
        <f t="shared" ca="1" si="4"/>
        <v>7767.1998582132082</v>
      </c>
      <c r="U9" s="465">
        <f t="shared" ca="1" si="4"/>
        <v>6185.4156428178885</v>
      </c>
      <c r="V9" s="465">
        <f t="shared" ca="1" si="4"/>
        <v>6071.4384200915574</v>
      </c>
      <c r="W9" s="471">
        <f t="shared" ca="1" si="4"/>
        <v>5927.6413190843869</v>
      </c>
      <c r="X9" s="471">
        <f t="shared" ca="1" si="4"/>
        <v>5841.0175160039207</v>
      </c>
      <c r="Y9" s="471">
        <f t="shared" ca="1" si="4"/>
        <v>5767.0119020821649</v>
      </c>
    </row>
    <row r="10" spans="1:25" x14ac:dyDescent="0.2">
      <c r="A10" t="s">
        <v>823</v>
      </c>
      <c r="C10" s="449">
        <f ca="1">'Iterative I-V'!C136</f>
        <v>104</v>
      </c>
      <c r="D10" s="471">
        <f ca="1">'Iterative I-V'!D136</f>
        <v>60</v>
      </c>
      <c r="E10" s="471">
        <f ca="1">'Iterative I-V'!E136</f>
        <v>36</v>
      </c>
      <c r="F10" s="471">
        <f ca="1">'Iterative I-V'!F136</f>
        <v>24</v>
      </c>
      <c r="G10" s="471">
        <f ca="1">'Iterative I-V'!G10</f>
        <v>16</v>
      </c>
      <c r="H10" s="471">
        <f ca="1">'Iterative I-V'!H136</f>
        <v>14</v>
      </c>
      <c r="I10" s="465">
        <f ca="1">'Iterative I-V'!I136</f>
        <v>14</v>
      </c>
      <c r="J10" s="465">
        <f ca="1">'Iterative I-V'!J136</f>
        <v>12</v>
      </c>
      <c r="K10" s="465">
        <f ca="1">'Iterative I-V'!K136</f>
        <v>12</v>
      </c>
      <c r="L10" s="465">
        <f ca="1">'Iterative I-V'!L136</f>
        <v>12</v>
      </c>
      <c r="N10" t="s">
        <v>823</v>
      </c>
      <c r="P10" s="4">
        <f t="shared" ca="1" si="4"/>
        <v>104</v>
      </c>
      <c r="Q10" s="465">
        <f t="shared" ca="1" si="4"/>
        <v>60</v>
      </c>
      <c r="R10" s="465">
        <f t="shared" ca="1" si="4"/>
        <v>36</v>
      </c>
      <c r="S10" s="465">
        <f t="shared" ca="1" si="4"/>
        <v>24</v>
      </c>
      <c r="T10" s="465">
        <f t="shared" ca="1" si="4"/>
        <v>16</v>
      </c>
      <c r="U10" s="465">
        <f t="shared" ca="1" si="4"/>
        <v>14</v>
      </c>
      <c r="V10" s="465">
        <f t="shared" ca="1" si="4"/>
        <v>14</v>
      </c>
      <c r="W10" s="471">
        <f t="shared" ca="1" si="4"/>
        <v>12</v>
      </c>
      <c r="X10" s="471">
        <f t="shared" ca="1" si="4"/>
        <v>12</v>
      </c>
      <c r="Y10" s="471">
        <f t="shared" ca="1" si="4"/>
        <v>12</v>
      </c>
    </row>
    <row r="11" spans="1:25" ht="17.25" x14ac:dyDescent="0.25">
      <c r="A11" s="378" t="s">
        <v>824</v>
      </c>
      <c r="B11" s="17" t="s">
        <v>722</v>
      </c>
      <c r="C11" s="449">
        <f ca="1">'Iterative I-V'!C135</f>
        <v>493.063042922411</v>
      </c>
      <c r="D11" s="471">
        <f ca="1">'Iterative I-V'!D135</f>
        <v>491.78366524584243</v>
      </c>
      <c r="E11" s="471">
        <f ca="1">'Iterative I-V'!E135</f>
        <v>493.39621230680615</v>
      </c>
      <c r="F11" s="471">
        <f ca="1">'Iterative I-V'!F135</f>
        <v>473.152489835567</v>
      </c>
      <c r="G11" s="471">
        <f ca="1">'Iterative I-V'!G135</f>
        <v>485.44999113832552</v>
      </c>
      <c r="H11" s="471">
        <f ca="1">'Iterative I-V'!H135</f>
        <v>441.8154030584206</v>
      </c>
      <c r="I11" s="465">
        <f ca="1">'Iterative I-V'!I135</f>
        <v>433.67417286368266</v>
      </c>
      <c r="J11" s="465">
        <f ca="1">'Iterative I-V'!J135</f>
        <v>493.97010992369889</v>
      </c>
      <c r="K11" s="465">
        <f ca="1">'Iterative I-V'!K135</f>
        <v>486.75145966699341</v>
      </c>
      <c r="L11" s="465">
        <f ca="1">'Iterative I-V'!L135</f>
        <v>480.58432517351372</v>
      </c>
      <c r="N11" s="378" t="s">
        <v>824</v>
      </c>
      <c r="O11" s="17" t="s">
        <v>722</v>
      </c>
      <c r="P11" s="4">
        <f t="shared" ca="1" si="4"/>
        <v>493.063042922411</v>
      </c>
      <c r="Q11" s="465">
        <f t="shared" ca="1" si="4"/>
        <v>491.78366524584243</v>
      </c>
      <c r="R11" s="465">
        <f t="shared" ca="1" si="4"/>
        <v>493.39621230680615</v>
      </c>
      <c r="S11" s="465">
        <f t="shared" ca="1" si="4"/>
        <v>473.152489835567</v>
      </c>
      <c r="T11" s="465">
        <f t="shared" ca="1" si="4"/>
        <v>485.44999113832552</v>
      </c>
      <c r="U11" s="465">
        <f t="shared" ca="1" si="4"/>
        <v>441.8154030584206</v>
      </c>
      <c r="V11" s="465">
        <f t="shared" ca="1" si="4"/>
        <v>433.67417286368266</v>
      </c>
      <c r="W11" s="471">
        <f t="shared" ca="1" si="4"/>
        <v>493.97010992369889</v>
      </c>
      <c r="X11" s="471">
        <f t="shared" ca="1" si="4"/>
        <v>486.75145966699341</v>
      </c>
      <c r="Y11" s="471">
        <f t="shared" ca="1" si="4"/>
        <v>480.58432517351372</v>
      </c>
    </row>
    <row r="12" spans="1:25" x14ac:dyDescent="0.2">
      <c r="A12" s="378" t="s">
        <v>825</v>
      </c>
      <c r="B12" s="17" t="s">
        <v>720</v>
      </c>
      <c r="C12" s="21">
        <f t="shared" ref="C12:H12" ca="1" si="5">C8-C84</f>
        <v>2.367999999997084</v>
      </c>
      <c r="D12" s="21">
        <f t="shared" ca="1" si="5"/>
        <v>2.3679999999989154</v>
      </c>
      <c r="E12" s="21">
        <f t="shared" ca="1" si="5"/>
        <v>2.3679999999968731</v>
      </c>
      <c r="F12" s="21">
        <f t="shared" ca="1" si="5"/>
        <v>2.3679999999822203</v>
      </c>
      <c r="G12" s="21">
        <f t="shared" ca="1" si="5"/>
        <v>2.3679999999291406</v>
      </c>
      <c r="H12" s="21">
        <f t="shared" ca="1" si="5"/>
        <v>2.4041683631533037</v>
      </c>
      <c r="I12" s="470">
        <f t="shared" ref="I12:L12" ca="1" si="6">I8-I84</f>
        <v>2.4906184322060403</v>
      </c>
      <c r="J12" s="470">
        <f t="shared" ca="1" si="6"/>
        <v>2.5287516109758297</v>
      </c>
      <c r="K12" s="470">
        <f t="shared" ca="1" si="6"/>
        <v>2.5932465142117342</v>
      </c>
      <c r="L12" s="470">
        <f t="shared" ca="1" si="6"/>
        <v>2.6503333621861458</v>
      </c>
      <c r="N12" s="378" t="s">
        <v>825</v>
      </c>
      <c r="O12" s="17" t="s">
        <v>720</v>
      </c>
      <c r="P12" s="256">
        <f t="shared" ca="1" si="4"/>
        <v>2.367999999997084</v>
      </c>
      <c r="Q12" s="476">
        <f t="shared" ca="1" si="4"/>
        <v>2.3679999999989154</v>
      </c>
      <c r="R12" s="476">
        <f t="shared" ca="1" si="4"/>
        <v>2.3679999999968731</v>
      </c>
      <c r="S12" s="476">
        <f t="shared" ca="1" si="4"/>
        <v>2.3679999999822203</v>
      </c>
      <c r="T12" s="476">
        <f t="shared" ca="1" si="4"/>
        <v>2.3679999999291406</v>
      </c>
      <c r="U12" s="476">
        <f t="shared" ca="1" si="4"/>
        <v>2.4041683631533037</v>
      </c>
      <c r="V12" s="476">
        <f t="shared" ca="1" si="4"/>
        <v>2.4906184322060403</v>
      </c>
      <c r="W12" s="476">
        <f t="shared" ca="1" si="4"/>
        <v>2.5287516109758297</v>
      </c>
      <c r="X12" s="476">
        <f t="shared" ca="1" si="4"/>
        <v>2.5932465142117342</v>
      </c>
      <c r="Y12" s="476">
        <f t="shared" ca="1" si="4"/>
        <v>2.6503333621861458</v>
      </c>
    </row>
    <row r="13" spans="1:25" x14ac:dyDescent="0.2">
      <c r="A13" t="s">
        <v>826</v>
      </c>
      <c r="B13" s="157" t="s">
        <v>720</v>
      </c>
      <c r="C13" s="470"/>
      <c r="D13" s="472"/>
      <c r="E13" s="472"/>
      <c r="F13" s="472"/>
      <c r="G13" s="472"/>
      <c r="H13" s="472"/>
      <c r="I13" s="470"/>
      <c r="J13" s="470"/>
      <c r="K13" s="470"/>
      <c r="L13" s="470"/>
      <c r="N13" t="s">
        <v>855</v>
      </c>
      <c r="P13" s="470">
        <f t="shared" ref="P13:Y13" ca="1" si="7">C3*1000/(C6*C18)</f>
        <v>2.626535486474054</v>
      </c>
      <c r="Q13" s="470">
        <f t="shared" ca="1" si="7"/>
        <v>2.6338410944965527</v>
      </c>
      <c r="R13" s="470">
        <f t="shared" ca="1" si="7"/>
        <v>2.6444031650490585</v>
      </c>
      <c r="S13" s="470">
        <f t="shared" ca="1" si="7"/>
        <v>2.658849661169072</v>
      </c>
      <c r="T13" s="470">
        <f t="shared" ca="1" si="7"/>
        <v>2.6419430323887707</v>
      </c>
      <c r="U13" s="470">
        <f t="shared" ca="1" si="7"/>
        <v>2.6631386092011788</v>
      </c>
      <c r="V13" s="470">
        <f t="shared" ca="1" si="7"/>
        <v>2.7131328809716955</v>
      </c>
      <c r="W13" s="472">
        <f t="shared" ca="1" si="7"/>
        <v>2.7572395148351108</v>
      </c>
      <c r="X13" s="472">
        <f t="shared" ca="1" si="7"/>
        <v>2.7981300911986207</v>
      </c>
      <c r="Y13" s="472">
        <f t="shared" ca="1" si="7"/>
        <v>2.8340373060176725</v>
      </c>
    </row>
    <row r="14" spans="1:25" ht="17.25" x14ac:dyDescent="0.25">
      <c r="A14" s="17" t="s">
        <v>802</v>
      </c>
      <c r="B14" s="17" t="s">
        <v>726</v>
      </c>
      <c r="C14" s="21">
        <f t="shared" ref="C14:L14" ca="1" si="8">IF(C19=1,C15,0.05)</f>
        <v>3.0103666820775385E-3</v>
      </c>
      <c r="D14" s="21">
        <f t="shared" ca="1" si="8"/>
        <v>5.2315434879211245E-3</v>
      </c>
      <c r="E14" s="21">
        <f t="shared" ca="1" si="8"/>
        <v>8.6907424067860593E-3</v>
      </c>
      <c r="F14" s="21">
        <f t="shared" ca="1" si="8"/>
        <v>1.3593860788401642E-2</v>
      </c>
      <c r="G14" s="21">
        <f t="shared" ca="1" si="8"/>
        <v>1.9874248211205748E-2</v>
      </c>
      <c r="H14" s="21">
        <f t="shared" ca="1" si="8"/>
        <v>2.4530767848846835E-2</v>
      </c>
      <c r="I14" s="21">
        <f t="shared" ca="1" si="8"/>
        <v>2.404115904578891E-2</v>
      </c>
      <c r="J14" s="21">
        <f t="shared" ca="1" si="8"/>
        <v>2.421133986808258E-2</v>
      </c>
      <c r="K14" s="21">
        <f t="shared" ca="1" si="8"/>
        <v>2.390431060948851E-2</v>
      </c>
      <c r="L14" s="21">
        <f t="shared" ca="1" si="8"/>
        <v>2.3635048867468967E-2</v>
      </c>
      <c r="N14" s="26" t="s">
        <v>830</v>
      </c>
      <c r="O14" s="17" t="s">
        <v>727</v>
      </c>
      <c r="P14" s="66">
        <f t="shared" ref="P14:V14" ca="1" si="9">P15/P8</f>
        <v>0.88734306975437427</v>
      </c>
      <c r="Q14" s="470">
        <f t="shared" ca="1" si="9"/>
        <v>0.88981118057335684</v>
      </c>
      <c r="R14" s="470">
        <f t="shared" ca="1" si="9"/>
        <v>0.89337944765197452</v>
      </c>
      <c r="S14" s="470">
        <f t="shared" ca="1" si="9"/>
        <v>0.8982600206657031</v>
      </c>
      <c r="T14" s="470">
        <f t="shared" ca="1" si="9"/>
        <v>0.89254832175291265</v>
      </c>
      <c r="U14" s="470">
        <f t="shared" ca="1" si="9"/>
        <v>0.89970898959499201</v>
      </c>
      <c r="V14" s="470">
        <f t="shared" ca="1" si="9"/>
        <v>0.91659894627422056</v>
      </c>
      <c r="W14" s="472">
        <f t="shared" ref="W14:Y14" ca="1" si="10">W15/W8</f>
        <v>0.93149983609294285</v>
      </c>
      <c r="X14" s="472">
        <f t="shared" ca="1" si="10"/>
        <v>0.94531421999953402</v>
      </c>
      <c r="Y14" s="472">
        <f t="shared" ca="1" si="10"/>
        <v>0.9574450358167812</v>
      </c>
    </row>
    <row r="15" spans="1:25" ht="17.25" x14ac:dyDescent="0.25">
      <c r="A15" t="s">
        <v>728</v>
      </c>
      <c r="B15" s="17" t="s">
        <v>726</v>
      </c>
      <c r="C15" s="470">
        <f t="shared" ref="C15:H15" ca="1" si="11">C4*1000/(C6*C9*C12)</f>
        <v>3.0103666820585065E-3</v>
      </c>
      <c r="D15" s="472">
        <f t="shared" ca="1" si="11"/>
        <v>5.2315434879204956E-3</v>
      </c>
      <c r="E15" s="472">
        <f t="shared" ca="1" si="11"/>
        <v>8.69074240678387E-3</v>
      </c>
      <c r="F15" s="472">
        <f t="shared" ca="1" si="11"/>
        <v>1.3593860788383521E-2</v>
      </c>
      <c r="G15" s="472">
        <f t="shared" ca="1" si="11"/>
        <v>1.9874248211119581E-2</v>
      </c>
      <c r="H15" s="472">
        <f t="shared" ca="1" si="11"/>
        <v>2.453076784899396E-2</v>
      </c>
      <c r="I15" s="470">
        <f t="shared" ref="I15:L15" ca="1" si="12">I4*1000/(I6*I9*I12)</f>
        <v>2.4041159045924628E-2</v>
      </c>
      <c r="J15" s="470">
        <f t="shared" ca="1" si="12"/>
        <v>2.421133986808258E-2</v>
      </c>
      <c r="K15" s="470">
        <f t="shared" ca="1" si="12"/>
        <v>2.390431060948851E-2</v>
      </c>
      <c r="L15" s="470">
        <f t="shared" ca="1" si="12"/>
        <v>2.3635048867468967E-2</v>
      </c>
      <c r="N15" t="s">
        <v>729</v>
      </c>
      <c r="O15" s="157" t="s">
        <v>720</v>
      </c>
      <c r="P15" s="66">
        <f t="shared" ref="P15:V15" ca="1" si="13">P8-P84</f>
        <v>2.6265354864729029</v>
      </c>
      <c r="Q15" s="470">
        <f t="shared" ca="1" si="13"/>
        <v>2.6338410944973529</v>
      </c>
      <c r="R15" s="470">
        <f t="shared" ca="1" si="13"/>
        <v>2.6444031650501358</v>
      </c>
      <c r="S15" s="470">
        <f t="shared" ca="1" si="13"/>
        <v>2.6588496611710095</v>
      </c>
      <c r="T15" s="470">
        <f t="shared" ca="1" si="13"/>
        <v>2.6419430323885624</v>
      </c>
      <c r="U15" s="470">
        <f t="shared" ca="1" si="13"/>
        <v>2.6631386092011748</v>
      </c>
      <c r="V15" s="470">
        <f t="shared" ca="1" si="13"/>
        <v>2.7131328809716915</v>
      </c>
      <c r="W15" s="472">
        <f t="shared" ref="W15:Y15" ca="1" si="14">W8-W84</f>
        <v>2.7572395148351108</v>
      </c>
      <c r="X15" s="472">
        <f t="shared" ca="1" si="14"/>
        <v>2.7981300911986207</v>
      </c>
      <c r="Y15" s="472">
        <f t="shared" ca="1" si="14"/>
        <v>2.8340373060176725</v>
      </c>
    </row>
    <row r="16" spans="1:25" ht="17.25" x14ac:dyDescent="0.25">
      <c r="A16" s="26" t="s">
        <v>829</v>
      </c>
      <c r="B16" t="s">
        <v>726</v>
      </c>
      <c r="C16" s="460">
        <f t="shared" ref="C16:L16" ca="1" si="15">C17/1000/5</f>
        <v>7.9197169435091187E-4</v>
      </c>
      <c r="D16" s="472">
        <f t="shared" ca="1" si="15"/>
        <v>1.3725045863030761E-3</v>
      </c>
      <c r="E16" s="472">
        <f t="shared" ca="1" si="15"/>
        <v>2.2709247489769054E-3</v>
      </c>
      <c r="F16" s="472">
        <f t="shared" ca="1" si="15"/>
        <v>3.5328286223512244E-3</v>
      </c>
      <c r="G16" s="472">
        <f t="shared" ca="1" si="15"/>
        <v>5.1980540933968481E-3</v>
      </c>
      <c r="H16" s="472">
        <f t="shared" ca="1" si="15"/>
        <v>6.4753919999999965E-3</v>
      </c>
      <c r="I16" s="470">
        <f t="shared" ca="1" si="15"/>
        <v>6.4753919999999965E-3</v>
      </c>
      <c r="J16" s="470">
        <f t="shared" ca="1" si="15"/>
        <v>6.4753920000000008E-3</v>
      </c>
      <c r="K16" s="470">
        <f t="shared" ca="1" si="15"/>
        <v>6.4753920000000008E-3</v>
      </c>
      <c r="L16" s="470">
        <f t="shared" ca="1" si="15"/>
        <v>6.4753920000000008E-3</v>
      </c>
      <c r="N16" s="26" t="s">
        <v>829</v>
      </c>
      <c r="O16" t="s">
        <v>726</v>
      </c>
      <c r="P16" s="21">
        <f t="shared" ref="P16:Y16" ca="1" si="16">C16</f>
        <v>7.9197169435091187E-4</v>
      </c>
      <c r="Q16" s="21">
        <f t="shared" ca="1" si="16"/>
        <v>1.3725045863030761E-3</v>
      </c>
      <c r="R16" s="21">
        <f t="shared" ca="1" si="16"/>
        <v>2.2709247489769054E-3</v>
      </c>
      <c r="S16" s="21">
        <f t="shared" ca="1" si="16"/>
        <v>3.5328286223512244E-3</v>
      </c>
      <c r="T16" s="21">
        <f t="shared" ca="1" si="16"/>
        <v>5.1980540933968481E-3</v>
      </c>
      <c r="U16" s="21">
        <f t="shared" ca="1" si="16"/>
        <v>6.4753919999999965E-3</v>
      </c>
      <c r="V16" s="21">
        <f t="shared" ca="1" si="16"/>
        <v>6.4753919999999965E-3</v>
      </c>
      <c r="W16" s="21">
        <f t="shared" ca="1" si="16"/>
        <v>6.4753920000000008E-3</v>
      </c>
      <c r="X16" s="21">
        <f t="shared" ca="1" si="16"/>
        <v>6.4753920000000008E-3</v>
      </c>
      <c r="Y16" s="21">
        <f t="shared" ca="1" si="16"/>
        <v>6.4753920000000008E-3</v>
      </c>
    </row>
    <row r="17" spans="1:25" ht="17.25" x14ac:dyDescent="0.25">
      <c r="A17" s="154" t="s">
        <v>790</v>
      </c>
      <c r="B17" t="s">
        <v>731</v>
      </c>
      <c r="C17" s="466">
        <f t="shared" ref="C17:L17" ca="1" si="17">C18/C9*1000</f>
        <v>3.9598584717318612</v>
      </c>
      <c r="D17" s="473">
        <f t="shared" ca="1" si="17"/>
        <v>6.8625229315142127</v>
      </c>
      <c r="E17" s="473">
        <f t="shared" ca="1" si="17"/>
        <v>11.354623744882495</v>
      </c>
      <c r="F17" s="473">
        <f t="shared" ca="1" si="17"/>
        <v>17.664143111750278</v>
      </c>
      <c r="G17" s="473">
        <f t="shared" ca="1" si="17"/>
        <v>25.990270466991959</v>
      </c>
      <c r="H17" s="473">
        <f t="shared" ca="1" si="17"/>
        <v>32.376959999999983</v>
      </c>
      <c r="I17" s="466">
        <f t="shared" ca="1" si="17"/>
        <v>32.37695999999999</v>
      </c>
      <c r="J17" s="466">
        <f t="shared" ca="1" si="17"/>
        <v>32.376960000000004</v>
      </c>
      <c r="K17" s="466">
        <f t="shared" ca="1" si="17"/>
        <v>32.376960000000004</v>
      </c>
      <c r="L17" s="466">
        <f t="shared" ca="1" si="17"/>
        <v>32.376960000000004</v>
      </c>
      <c r="N17" s="157" t="s">
        <v>730</v>
      </c>
      <c r="O17" t="s">
        <v>731</v>
      </c>
      <c r="P17" s="6">
        <f t="shared" ref="P17:Y17" ca="1" si="18">C17</f>
        <v>3.9598584717318612</v>
      </c>
      <c r="Q17" s="466">
        <f t="shared" ca="1" si="18"/>
        <v>6.8625229315142127</v>
      </c>
      <c r="R17" s="466">
        <f t="shared" ca="1" si="18"/>
        <v>11.354623744882495</v>
      </c>
      <c r="S17" s="466">
        <f t="shared" ca="1" si="18"/>
        <v>17.664143111750278</v>
      </c>
      <c r="T17" s="466">
        <f t="shared" ca="1" si="18"/>
        <v>25.990270466991959</v>
      </c>
      <c r="U17" s="466">
        <f t="shared" ca="1" si="18"/>
        <v>32.376959999999983</v>
      </c>
      <c r="V17" s="466">
        <f t="shared" ca="1" si="18"/>
        <v>32.37695999999999</v>
      </c>
      <c r="W17" s="473">
        <f t="shared" ca="1" si="18"/>
        <v>32.376960000000004</v>
      </c>
      <c r="X17" s="473">
        <f t="shared" ca="1" si="18"/>
        <v>32.376960000000004</v>
      </c>
      <c r="Y17" s="473">
        <f t="shared" ca="1" si="18"/>
        <v>32.376960000000004</v>
      </c>
    </row>
    <row r="18" spans="1:25" x14ac:dyDescent="0.2">
      <c r="A18" s="425" t="s">
        <v>788</v>
      </c>
      <c r="B18" s="252" t="s">
        <v>789</v>
      </c>
      <c r="C18" s="466">
        <f ca="1">'Iterative I-V'!C18</f>
        <v>203.05582623193393</v>
      </c>
      <c r="D18" s="473">
        <f ca="1">'Iterative I-V'!D18</f>
        <v>202.49260080559753</v>
      </c>
      <c r="E18" s="473">
        <f ca="1">'Iterative I-V'!E18</f>
        <v>201.68382052414916</v>
      </c>
      <c r="F18" s="473">
        <f ca="1">'Iterative I-V'!F18</f>
        <v>200.58799905921606</v>
      </c>
      <c r="G18" s="473">
        <f ca="1">'Iterative I-V'!G18</f>
        <v>201.87162508614901</v>
      </c>
      <c r="H18" s="473">
        <f ca="1">'Iterative I-V'!H18</f>
        <v>200.26495485088907</v>
      </c>
      <c r="I18" s="466">
        <f ca="1">'Iterative I-V'!I18</f>
        <v>196.57471886976757</v>
      </c>
      <c r="J18" s="466">
        <f ca="1">'Iterative I-V'!J18</f>
        <v>191.91900588234245</v>
      </c>
      <c r="K18" s="466">
        <f ca="1">'Iterative I-V'!K18</f>
        <v>189.11439047495833</v>
      </c>
      <c r="L18" s="466">
        <f ca="1">'Iterative I-V'!L18</f>
        <v>186.71831367323819</v>
      </c>
      <c r="N18" s="425" t="s">
        <v>788</v>
      </c>
      <c r="O18" s="252" t="s">
        <v>789</v>
      </c>
      <c r="P18" s="6">
        <f t="shared" ref="P18:Y18" ca="1" si="19">C18</f>
        <v>203.05582623193393</v>
      </c>
      <c r="Q18" s="466">
        <f t="shared" ca="1" si="19"/>
        <v>202.49260080559753</v>
      </c>
      <c r="R18" s="466">
        <f t="shared" ca="1" si="19"/>
        <v>201.68382052414916</v>
      </c>
      <c r="S18" s="466">
        <f t="shared" ca="1" si="19"/>
        <v>200.58799905921606</v>
      </c>
      <c r="T18" s="466">
        <f t="shared" ca="1" si="19"/>
        <v>201.87162508614901</v>
      </c>
      <c r="U18" s="466">
        <f t="shared" ca="1" si="19"/>
        <v>200.26495485088907</v>
      </c>
      <c r="V18" s="466">
        <f t="shared" ca="1" si="19"/>
        <v>196.57471886976757</v>
      </c>
      <c r="W18" s="473">
        <f t="shared" ca="1" si="19"/>
        <v>191.91900588234245</v>
      </c>
      <c r="X18" s="473">
        <f t="shared" ca="1" si="19"/>
        <v>189.11439047495833</v>
      </c>
      <c r="Y18" s="473">
        <f t="shared" ca="1" si="19"/>
        <v>186.71831367323819</v>
      </c>
    </row>
    <row r="19" spans="1:25" ht="15" x14ac:dyDescent="0.25">
      <c r="A19" s="369" t="s">
        <v>732</v>
      </c>
      <c r="C19" s="467">
        <v>1</v>
      </c>
      <c r="D19" s="467">
        <v>1</v>
      </c>
      <c r="E19" s="467">
        <v>1</v>
      </c>
      <c r="F19" s="467">
        <v>1</v>
      </c>
      <c r="G19" s="467">
        <v>1</v>
      </c>
      <c r="H19" s="467">
        <v>1</v>
      </c>
      <c r="I19" s="467">
        <v>1</v>
      </c>
      <c r="J19" s="467">
        <v>1</v>
      </c>
      <c r="K19" s="467">
        <v>1</v>
      </c>
      <c r="L19" s="467">
        <v>1</v>
      </c>
      <c r="N19" s="369"/>
      <c r="P19" s="467"/>
      <c r="Q19" s="467"/>
      <c r="R19" s="467"/>
      <c r="S19" s="467"/>
      <c r="T19" s="467"/>
      <c r="U19" s="467"/>
      <c r="V19" s="467"/>
      <c r="W19" s="467"/>
      <c r="X19" s="467"/>
      <c r="Y19" s="467"/>
    </row>
    <row r="20" spans="1:25" ht="15" x14ac:dyDescent="0.25">
      <c r="A20" s="369" t="s">
        <v>632</v>
      </c>
      <c r="C20" s="467">
        <v>1</v>
      </c>
      <c r="D20" s="467">
        <v>1</v>
      </c>
      <c r="E20" s="467">
        <v>1</v>
      </c>
      <c r="F20" s="467">
        <v>1</v>
      </c>
      <c r="G20" s="467">
        <v>1</v>
      </c>
      <c r="H20" s="467">
        <v>1</v>
      </c>
      <c r="I20" s="467">
        <v>1</v>
      </c>
      <c r="J20" s="467">
        <v>1</v>
      </c>
      <c r="K20" s="467">
        <v>1</v>
      </c>
      <c r="L20" s="467">
        <v>1</v>
      </c>
      <c r="N20" s="369" t="s">
        <v>632</v>
      </c>
      <c r="P20" s="468">
        <v>1</v>
      </c>
      <c r="Q20" s="468">
        <v>1</v>
      </c>
      <c r="R20" s="468">
        <v>1</v>
      </c>
      <c r="S20" s="468">
        <v>1</v>
      </c>
      <c r="T20" s="468">
        <v>1</v>
      </c>
      <c r="U20" s="468">
        <v>1</v>
      </c>
      <c r="V20" s="468">
        <v>1</v>
      </c>
      <c r="W20" s="468">
        <v>1</v>
      </c>
      <c r="X20" s="468">
        <v>1</v>
      </c>
      <c r="Y20" s="468">
        <v>1</v>
      </c>
    </row>
    <row r="21" spans="1:25" ht="15" x14ac:dyDescent="0.25">
      <c r="A21" s="369" t="s">
        <v>633</v>
      </c>
      <c r="C21" s="461" t="str">
        <f ca="1">IF(AND(C67&lt;3.1,C67&gt;0.01),IF('Flow and System'!C44&lt;0,"reset flow",""),"reset positive")</f>
        <v/>
      </c>
      <c r="D21" s="461" t="str">
        <f ca="1">IF(AND(D67&lt;3.1,D67&gt;0.01),IF('Flow and System'!D44&lt;0,"reset flow",""),"reset positive")</f>
        <v/>
      </c>
      <c r="E21" s="461" t="str">
        <f ca="1">IF(AND(E67&lt;3.1,E67&gt;0.01),IF('Flow and System'!E44&lt;0,"reset flow",""),"reset positive")</f>
        <v/>
      </c>
      <c r="F21" s="461" t="str">
        <f ca="1">IF(AND(F67&lt;3.1,F67&gt;0.01),IF('Flow and System'!F44&lt;0,"reset flow",""),"reset positive")</f>
        <v/>
      </c>
      <c r="G21" s="461" t="str">
        <f ca="1">IF(AND(G67&lt;3.1,G67&gt;0.01),IF('Flow and System'!G44&lt;0,"reset flow",""),"reset positive")</f>
        <v/>
      </c>
      <c r="H21" s="461" t="str">
        <f ca="1">IF(AND(H67&lt;3.1,H67&gt;0.01),IF('Flow and System'!H44&lt;0,"reset flow",""),"reset positive")</f>
        <v/>
      </c>
      <c r="I21" s="461" t="str">
        <f ca="1">IF(AND(I67&lt;3.1,I67&gt;0.01),IF('Flow and System'!I44&lt;0,"reset flow",""),"reset positive")</f>
        <v/>
      </c>
      <c r="J21" s="461" t="str">
        <f ca="1">IF(AND(J67&lt;3.1,J67&gt;0.01),IF('Flow and System'!J44&lt;0,"reset flow",""),"reset positive")</f>
        <v/>
      </c>
      <c r="K21" s="461" t="str">
        <f ca="1">IF(AND(K67&lt;3.1,K67&gt;0.01),IF('Flow and System'!K44&lt;0,"reset flow",""),"reset positive")</f>
        <v/>
      </c>
      <c r="L21" s="461" t="str">
        <f ca="1">IF(AND(L67&lt;3.1,L67&gt;0.01),IF('Flow and System'!L44&lt;0,"reset flow",""),"reset positive")</f>
        <v/>
      </c>
      <c r="N21" s="369" t="s">
        <v>633</v>
      </c>
      <c r="P21" s="382" t="str">
        <f t="shared" ref="P21:V21" ca="1" si="20">IF(AND(P67&lt;3.1,P67&gt;0.1),"","reset positive")</f>
        <v/>
      </c>
      <c r="Q21" s="382" t="str">
        <f t="shared" ca="1" si="20"/>
        <v/>
      </c>
      <c r="R21" s="382" t="str">
        <f t="shared" ca="1" si="20"/>
        <v/>
      </c>
      <c r="S21" s="382" t="str">
        <f t="shared" ca="1" si="20"/>
        <v/>
      </c>
      <c r="T21" s="382" t="str">
        <f t="shared" ca="1" si="20"/>
        <v/>
      </c>
      <c r="U21" s="382" t="str">
        <f t="shared" ca="1" si="20"/>
        <v/>
      </c>
      <c r="V21" s="382" t="str">
        <f t="shared" ca="1" si="20"/>
        <v/>
      </c>
      <c r="W21" s="382" t="str">
        <f t="shared" ref="W21:Y21" ca="1" si="21">IF(AND(W67&lt;3.1,W67&gt;0.1),"","reset positive")</f>
        <v/>
      </c>
      <c r="X21" s="382" t="str">
        <f t="shared" ca="1" si="21"/>
        <v/>
      </c>
      <c r="Y21" s="382" t="str">
        <f t="shared" ca="1" si="21"/>
        <v/>
      </c>
    </row>
    <row r="22" spans="1:25" ht="15.75" thickBot="1" x14ac:dyDescent="0.3">
      <c r="A22" s="383" t="s">
        <v>634</v>
      </c>
      <c r="B22" s="383" t="s">
        <v>635</v>
      </c>
      <c r="C22" s="384"/>
      <c r="D22" s="384"/>
      <c r="E22" s="384"/>
      <c r="F22" s="384"/>
      <c r="G22" s="384"/>
      <c r="H22" s="384"/>
      <c r="I22" s="384"/>
      <c r="J22" s="384"/>
      <c r="K22" s="384"/>
      <c r="L22" s="384"/>
      <c r="N22" s="383" t="s">
        <v>634</v>
      </c>
      <c r="O22" s="383" t="s">
        <v>635</v>
      </c>
      <c r="P22" s="384"/>
      <c r="Q22" s="384"/>
      <c r="R22" s="384"/>
      <c r="S22" s="384"/>
      <c r="T22" s="384"/>
      <c r="U22" s="384"/>
      <c r="V22" s="384"/>
      <c r="W22" s="384"/>
      <c r="X22" s="384"/>
      <c r="Y22" s="384"/>
    </row>
    <row r="23" spans="1:25" ht="15" x14ac:dyDescent="0.25">
      <c r="A23" s="385"/>
      <c r="N23" s="385"/>
    </row>
    <row r="24" spans="1:25" x14ac:dyDescent="0.2">
      <c r="C24" s="256"/>
      <c r="D24" s="256"/>
      <c r="E24" s="256"/>
      <c r="F24" s="256"/>
      <c r="G24" s="256"/>
      <c r="H24" s="256"/>
      <c r="I24" s="256"/>
      <c r="J24" s="256"/>
      <c r="K24" s="256"/>
      <c r="L24" s="256"/>
      <c r="P24" s="256"/>
      <c r="Q24" s="256"/>
      <c r="R24" s="256"/>
      <c r="S24" s="256"/>
      <c r="T24" s="256"/>
      <c r="U24" s="256"/>
      <c r="V24" s="256"/>
      <c r="W24" s="256"/>
      <c r="X24" s="256"/>
      <c r="Y24" s="256"/>
    </row>
    <row r="25" spans="1:25" x14ac:dyDescent="0.2">
      <c r="C25" s="66"/>
      <c r="D25" s="472"/>
      <c r="E25" s="472"/>
      <c r="F25" s="472"/>
      <c r="G25" s="472"/>
      <c r="H25" s="472"/>
      <c r="I25" s="470"/>
      <c r="J25" s="470"/>
      <c r="K25" s="470"/>
      <c r="L25" s="470"/>
      <c r="P25" s="66"/>
      <c r="Q25" s="470"/>
      <c r="R25" s="470"/>
      <c r="S25" s="470"/>
      <c r="T25" s="470"/>
      <c r="U25" s="470"/>
      <c r="V25" s="470"/>
      <c r="W25" s="472"/>
      <c r="X25" s="472"/>
      <c r="Y25" s="472"/>
    </row>
    <row r="26" spans="1:25" x14ac:dyDescent="0.2">
      <c r="C26" s="20"/>
      <c r="D26" s="464"/>
      <c r="E26" s="464"/>
      <c r="F26" s="464"/>
      <c r="G26" s="464"/>
      <c r="H26" s="464"/>
      <c r="I26" s="464"/>
      <c r="J26" s="464"/>
      <c r="K26" s="464"/>
      <c r="L26" s="464"/>
      <c r="P26" s="20"/>
      <c r="Q26" s="464"/>
      <c r="R26" s="464"/>
      <c r="S26" s="464"/>
      <c r="T26" s="464"/>
      <c r="U26" s="464"/>
      <c r="V26" s="464"/>
      <c r="W26" s="464"/>
      <c r="X26" s="464"/>
      <c r="Y26" s="464"/>
    </row>
    <row r="27" spans="1:25" ht="15" x14ac:dyDescent="0.25">
      <c r="A27" s="386"/>
      <c r="B27" s="386"/>
      <c r="C27" s="387"/>
      <c r="D27" s="387"/>
      <c r="E27" s="387"/>
      <c r="F27" s="387"/>
      <c r="G27" s="387"/>
      <c r="H27" s="387"/>
      <c r="I27" s="387"/>
      <c r="J27" s="387"/>
      <c r="K27" s="387"/>
      <c r="L27" s="387"/>
      <c r="N27" s="386"/>
      <c r="O27" s="386"/>
      <c r="P27" s="387"/>
      <c r="Q27" s="387"/>
      <c r="R27" s="387"/>
      <c r="S27" s="387"/>
      <c r="T27" s="387"/>
      <c r="U27" s="387"/>
      <c r="V27" s="387"/>
      <c r="W27" s="387"/>
      <c r="X27" s="387"/>
      <c r="Y27" s="387"/>
    </row>
    <row r="28" spans="1:25" ht="15" x14ac:dyDescent="0.25">
      <c r="A28" s="385" t="s">
        <v>737</v>
      </c>
      <c r="B28" t="s">
        <v>835</v>
      </c>
      <c r="C28" s="256"/>
      <c r="D28" s="256"/>
      <c r="E28" s="256"/>
      <c r="F28" s="256"/>
      <c r="G28" s="256"/>
      <c r="H28" s="256"/>
      <c r="I28" s="256"/>
      <c r="J28" s="256"/>
      <c r="K28" s="256"/>
      <c r="L28" s="256"/>
      <c r="N28" s="385" t="s">
        <v>737</v>
      </c>
      <c r="O28" t="s">
        <v>835</v>
      </c>
      <c r="P28" s="256"/>
      <c r="Q28" s="256"/>
      <c r="R28" s="256"/>
      <c r="S28" s="256"/>
      <c r="T28" s="256"/>
      <c r="U28" s="256"/>
      <c r="V28" s="256"/>
      <c r="W28" s="256"/>
      <c r="X28" s="256"/>
      <c r="Y28" s="256"/>
    </row>
    <row r="29" spans="1:25" x14ac:dyDescent="0.2">
      <c r="A29" s="365" t="s">
        <v>836</v>
      </c>
      <c r="B29" t="s">
        <v>837</v>
      </c>
      <c r="C29" s="418">
        <f>Chem!$E$24</f>
        <v>1.5</v>
      </c>
      <c r="D29" s="418">
        <f>Chem!$E$24</f>
        <v>1.5</v>
      </c>
      <c r="E29" s="418">
        <f>Chem!$E$24</f>
        <v>1.5</v>
      </c>
      <c r="F29" s="418">
        <f>Chem!$E$24</f>
        <v>1.5</v>
      </c>
      <c r="G29" s="418">
        <f>Chem!$E$24</f>
        <v>1.5</v>
      </c>
      <c r="H29" s="418">
        <f>Chem!$E$24</f>
        <v>1.5</v>
      </c>
      <c r="I29" s="418">
        <f>Chem!$E$24</f>
        <v>1.5</v>
      </c>
      <c r="J29" s="418">
        <f>Chem!$E$24</f>
        <v>1.5</v>
      </c>
      <c r="K29" s="418">
        <f>Chem!$E$24</f>
        <v>1.5</v>
      </c>
      <c r="L29" s="418">
        <f>Chem!$E$24</f>
        <v>1.5</v>
      </c>
      <c r="N29" s="365" t="s">
        <v>836</v>
      </c>
      <c r="O29" t="s">
        <v>837</v>
      </c>
      <c r="P29" s="256">
        <f t="shared" ref="P29:Y30" si="22">C29</f>
        <v>1.5</v>
      </c>
      <c r="Q29" s="256">
        <f t="shared" si="22"/>
        <v>1.5</v>
      </c>
      <c r="R29" s="256">
        <f t="shared" si="22"/>
        <v>1.5</v>
      </c>
      <c r="S29" s="256">
        <f t="shared" si="22"/>
        <v>1.5</v>
      </c>
      <c r="T29" s="256">
        <f t="shared" si="22"/>
        <v>1.5</v>
      </c>
      <c r="U29" s="256">
        <f t="shared" si="22"/>
        <v>1.5</v>
      </c>
      <c r="V29" s="256">
        <f t="shared" si="22"/>
        <v>1.5</v>
      </c>
      <c r="W29" s="256">
        <f t="shared" si="22"/>
        <v>1.5</v>
      </c>
      <c r="X29" s="256">
        <f t="shared" si="22"/>
        <v>1.5</v>
      </c>
      <c r="Y29" s="256">
        <f t="shared" si="22"/>
        <v>1.5</v>
      </c>
    </row>
    <row r="30" spans="1:25" x14ac:dyDescent="0.2">
      <c r="A30" s="365" t="s">
        <v>739</v>
      </c>
      <c r="B30" t="s">
        <v>740</v>
      </c>
      <c r="C30" s="485">
        <f ca="1">'Iterative I-V'!C133/10000</f>
        <v>2.9026538767449356E-3</v>
      </c>
      <c r="D30" s="419">
        <f ca="1">'Iterative I-V'!D133/10000</f>
        <v>5.0303638207278723E-3</v>
      </c>
      <c r="E30" s="419">
        <f ca="1">'Iterative I-V'!E133/10000</f>
        <v>8.3231617663431408E-3</v>
      </c>
      <c r="F30" s="419">
        <f ca="1">'Iterative I-V'!F133/10000</f>
        <v>1.2948163134791423E-2</v>
      </c>
      <c r="G30" s="419">
        <f ca="1">'Iterative I-V'!G133/10000</f>
        <v>1.905137768614501E-2</v>
      </c>
      <c r="H30" s="419">
        <f ca="1">'Iterative I-V'!H133/10000</f>
        <v>2.3732946298984033E-2</v>
      </c>
      <c r="I30" s="419">
        <f ca="1">'Iterative I-V'!I133/10000</f>
        <v>2.3732946298984033E-2</v>
      </c>
      <c r="J30" s="419">
        <f ca="1">'Iterative I-V'!J133/10000</f>
        <v>2.3732946298984033E-2</v>
      </c>
      <c r="K30" s="419">
        <f ca="1">'Iterative I-V'!K133/10000</f>
        <v>2.3732946298984033E-2</v>
      </c>
      <c r="L30" s="419">
        <f ca="1">'Iterative I-V'!L133/10000</f>
        <v>2.3732946298984033E-2</v>
      </c>
      <c r="N30" s="365" t="s">
        <v>739</v>
      </c>
      <c r="O30" t="s">
        <v>740</v>
      </c>
      <c r="P30" s="212">
        <f t="shared" ca="1" si="22"/>
        <v>2.9026538767449356E-3</v>
      </c>
      <c r="Q30" s="212">
        <f t="shared" ca="1" si="22"/>
        <v>5.0303638207278723E-3</v>
      </c>
      <c r="R30" s="212">
        <f t="shared" ca="1" si="22"/>
        <v>8.3231617663431408E-3</v>
      </c>
      <c r="S30" s="212">
        <f t="shared" ca="1" si="22"/>
        <v>1.2948163134791423E-2</v>
      </c>
      <c r="T30" s="212">
        <f t="shared" ca="1" si="22"/>
        <v>1.905137768614501E-2</v>
      </c>
      <c r="U30" s="212">
        <f t="shared" ca="1" si="22"/>
        <v>2.3732946298984033E-2</v>
      </c>
      <c r="V30" s="212">
        <f t="shared" ca="1" si="22"/>
        <v>2.3732946298984033E-2</v>
      </c>
      <c r="W30" s="474">
        <f t="shared" ca="1" si="22"/>
        <v>2.3732946298984033E-2</v>
      </c>
      <c r="X30" s="474">
        <f t="shared" ca="1" si="22"/>
        <v>2.3732946298984033E-2</v>
      </c>
      <c r="Y30" s="474">
        <f t="shared" ca="1" si="22"/>
        <v>2.3732946298984033E-2</v>
      </c>
    </row>
    <row r="31" spans="1:25" x14ac:dyDescent="0.2">
      <c r="A31" t="s">
        <v>741</v>
      </c>
      <c r="C31" s="256" t="s">
        <v>742</v>
      </c>
      <c r="D31" s="256" t="s">
        <v>742</v>
      </c>
      <c r="E31" s="256" t="s">
        <v>742</v>
      </c>
      <c r="F31" s="256" t="s">
        <v>742</v>
      </c>
      <c r="G31" s="256" t="s">
        <v>742</v>
      </c>
      <c r="H31" s="256" t="s">
        <v>742</v>
      </c>
      <c r="I31" s="256" t="s">
        <v>742</v>
      </c>
      <c r="J31" s="256" t="s">
        <v>742</v>
      </c>
      <c r="K31" s="256" t="s">
        <v>742</v>
      </c>
      <c r="L31" s="256" t="s">
        <v>742</v>
      </c>
      <c r="N31" t="s">
        <v>741</v>
      </c>
      <c r="P31" s="256" t="s">
        <v>742</v>
      </c>
      <c r="Q31" s="256" t="s">
        <v>742</v>
      </c>
      <c r="R31" s="256" t="s">
        <v>742</v>
      </c>
      <c r="S31" s="256" t="s">
        <v>742</v>
      </c>
      <c r="T31" s="256" t="s">
        <v>742</v>
      </c>
      <c r="U31" s="256" t="s">
        <v>742</v>
      </c>
      <c r="V31" s="256" t="s">
        <v>742</v>
      </c>
      <c r="W31" s="256" t="s">
        <v>742</v>
      </c>
      <c r="X31" s="256" t="s">
        <v>742</v>
      </c>
      <c r="Y31" s="256" t="s">
        <v>742</v>
      </c>
    </row>
    <row r="32" spans="1:25" ht="18.75" x14ac:dyDescent="0.35">
      <c r="A32" t="s">
        <v>743</v>
      </c>
      <c r="B32" t="s">
        <v>726</v>
      </c>
      <c r="C32" s="372">
        <f>'Iterative I-V'!C32</f>
        <v>1E-4</v>
      </c>
      <c r="D32" s="475">
        <f>'Iterative I-V'!D32</f>
        <v>1.45E-4</v>
      </c>
      <c r="E32" s="475">
        <f>'Iterative I-V'!E32</f>
        <v>2.1024999999999999E-4</v>
      </c>
      <c r="F32" s="475">
        <f>'Iterative I-V'!F32</f>
        <v>3.0486249999999999E-4</v>
      </c>
      <c r="G32" s="475">
        <f>'Iterative I-V'!G32</f>
        <v>4.4205062499999998E-4</v>
      </c>
      <c r="H32" s="475">
        <f>'Iterative I-V'!H32</f>
        <v>6.4097340624999998E-4</v>
      </c>
      <c r="I32" s="372">
        <f>'Iterative I-V'!I32</f>
        <v>9.2941143906249989E-4</v>
      </c>
      <c r="J32" s="372">
        <f>'Iterative I-V'!J32</f>
        <v>1.3476465866406248E-3</v>
      </c>
      <c r="K32" s="372">
        <f>'Iterative I-V'!K32</f>
        <v>1.9540875506289059E-3</v>
      </c>
      <c r="L32" s="372">
        <f>'Iterative I-V'!L32</f>
        <v>2.8334269484119137E-3</v>
      </c>
      <c r="N32" t="s">
        <v>743</v>
      </c>
      <c r="O32" t="s">
        <v>726</v>
      </c>
      <c r="P32" s="372">
        <f t="shared" ref="P32:Y33" si="23">C32</f>
        <v>1E-4</v>
      </c>
      <c r="Q32" s="372">
        <f t="shared" si="23"/>
        <v>1.45E-4</v>
      </c>
      <c r="R32" s="372">
        <f t="shared" si="23"/>
        <v>2.1024999999999999E-4</v>
      </c>
      <c r="S32" s="372">
        <f t="shared" si="23"/>
        <v>3.0486249999999999E-4</v>
      </c>
      <c r="T32" s="372">
        <f t="shared" si="23"/>
        <v>4.4205062499999998E-4</v>
      </c>
      <c r="U32" s="372">
        <f t="shared" si="23"/>
        <v>6.4097340624999998E-4</v>
      </c>
      <c r="V32" s="372">
        <f t="shared" si="23"/>
        <v>9.2941143906249989E-4</v>
      </c>
      <c r="W32" s="475">
        <f t="shared" si="23"/>
        <v>1.3476465866406248E-3</v>
      </c>
      <c r="X32" s="475">
        <f t="shared" si="23"/>
        <v>1.9540875506289059E-3</v>
      </c>
      <c r="Y32" s="475">
        <f t="shared" si="23"/>
        <v>2.8334269484119137E-3</v>
      </c>
    </row>
    <row r="33" spans="1:25" ht="15" x14ac:dyDescent="0.25">
      <c r="A33" t="s">
        <v>744</v>
      </c>
      <c r="C33" s="256">
        <f>'Iterative I-V'!C33</f>
        <v>0.5</v>
      </c>
      <c r="D33" s="256">
        <f>'Iterative I-V'!D33</f>
        <v>0.5</v>
      </c>
      <c r="E33" s="256">
        <f>'Iterative I-V'!E33</f>
        <v>0.5</v>
      </c>
      <c r="F33" s="256">
        <f>'Iterative I-V'!F33</f>
        <v>0.5</v>
      </c>
      <c r="G33" s="256">
        <f>'Iterative I-V'!G33</f>
        <v>0.5</v>
      </c>
      <c r="H33" s="256">
        <f>'Iterative I-V'!H33</f>
        <v>0.5</v>
      </c>
      <c r="I33" s="256">
        <f>'Iterative I-V'!I33</f>
        <v>0.5</v>
      </c>
      <c r="J33" s="256">
        <f>'Iterative I-V'!J33</f>
        <v>0.5</v>
      </c>
      <c r="K33" s="256">
        <f>'Iterative I-V'!K33</f>
        <v>0.5</v>
      </c>
      <c r="L33" s="256">
        <f>'Iterative I-V'!L33</f>
        <v>0.5</v>
      </c>
      <c r="N33" t="s">
        <v>744</v>
      </c>
      <c r="P33" s="256">
        <f t="shared" si="23"/>
        <v>0.5</v>
      </c>
      <c r="Q33" s="256">
        <f t="shared" si="23"/>
        <v>0.5</v>
      </c>
      <c r="R33" s="256">
        <f t="shared" si="23"/>
        <v>0.5</v>
      </c>
      <c r="S33" s="256">
        <f t="shared" si="23"/>
        <v>0.5</v>
      </c>
      <c r="T33" s="256">
        <f t="shared" si="23"/>
        <v>0.5</v>
      </c>
      <c r="U33" s="256">
        <f t="shared" si="23"/>
        <v>0.5</v>
      </c>
      <c r="V33" s="256">
        <f t="shared" si="23"/>
        <v>0.5</v>
      </c>
      <c r="W33" s="256">
        <f t="shared" si="23"/>
        <v>0.5</v>
      </c>
      <c r="X33" s="256">
        <f t="shared" si="23"/>
        <v>0.5</v>
      </c>
      <c r="Y33" s="256">
        <f t="shared" si="23"/>
        <v>0.5</v>
      </c>
    </row>
    <row r="34" spans="1:25" ht="15" x14ac:dyDescent="0.25">
      <c r="A34" t="s">
        <v>745</v>
      </c>
      <c r="B34" t="s">
        <v>720</v>
      </c>
      <c r="C34" s="20">
        <f t="shared" ref="C34:L34" ca="1" si="24">8.31443*303/(C33*96485.3)*ASINH(C14/(2*C32))</f>
        <v>0.17785109573526545</v>
      </c>
      <c r="D34" s="464">
        <f t="shared" ca="1" si="24"/>
        <v>0.18728983603111807</v>
      </c>
      <c r="E34" s="464">
        <f t="shared" ca="1" si="24"/>
        <v>0.19438173556837185</v>
      </c>
      <c r="F34" s="464">
        <f t="shared" ca="1" si="24"/>
        <v>0.19833559364778441</v>
      </c>
      <c r="G34" s="464">
        <f t="shared" ca="1" si="24"/>
        <v>0.19876562129429245</v>
      </c>
      <c r="H34" s="464">
        <f t="shared" ca="1" si="24"/>
        <v>0.19036472010363689</v>
      </c>
      <c r="I34" s="464">
        <f t="shared" ca="1" si="24"/>
        <v>0.16995079276541991</v>
      </c>
      <c r="J34" s="464">
        <f t="shared" ca="1" si="24"/>
        <v>0.15099895659302764</v>
      </c>
      <c r="K34" s="464">
        <f t="shared" ca="1" si="24"/>
        <v>0.13111360294007657</v>
      </c>
      <c r="L34" s="464">
        <f t="shared" ca="1" si="24"/>
        <v>0.11150798580943708</v>
      </c>
      <c r="N34" t="s">
        <v>745</v>
      </c>
      <c r="O34" t="s">
        <v>720</v>
      </c>
      <c r="P34" s="20">
        <f t="shared" ref="P34:V34" ca="1" si="25">8.31443*303/(P33*96485.3)*ASINH(P16/(2*P32))</f>
        <v>0.10887684918123393</v>
      </c>
      <c r="Q34" s="464">
        <f t="shared" ca="1" si="25"/>
        <v>0.11794797767738845</v>
      </c>
      <c r="R34" s="464">
        <f t="shared" ca="1" si="25"/>
        <v>0.12470906809979052</v>
      </c>
      <c r="S34" s="464">
        <f t="shared" ca="1" si="25"/>
        <v>0.12832533579067365</v>
      </c>
      <c r="T34" s="464">
        <f t="shared" ca="1" si="25"/>
        <v>0.12907793870103398</v>
      </c>
      <c r="U34" s="464">
        <f t="shared" ca="1" si="25"/>
        <v>0.12127946893174428</v>
      </c>
      <c r="V34" s="464">
        <f t="shared" ca="1" si="25"/>
        <v>0.1024157835648284</v>
      </c>
      <c r="W34" s="464">
        <f t="shared" ref="W34:Y34" ca="1" si="26">8.31443*303/(W33*96485.3)*ASINH(W16/(2*W32))</f>
        <v>8.4096038118782038E-2</v>
      </c>
      <c r="X34" s="464">
        <f t="shared" ca="1" si="26"/>
        <v>6.6777494523179423E-2</v>
      </c>
      <c r="Y34" s="464">
        <f t="shared" ca="1" si="26"/>
        <v>5.1111326458946157E-2</v>
      </c>
    </row>
    <row r="35" spans="1:25" ht="17.25" x14ac:dyDescent="0.25">
      <c r="A35" t="s">
        <v>735</v>
      </c>
      <c r="B35" t="s">
        <v>736</v>
      </c>
      <c r="C35" s="4">
        <f t="shared" ref="C35" ca="1" si="27">C34/C14</f>
        <v>59.079545622836022</v>
      </c>
      <c r="D35" s="471">
        <f t="shared" ref="D35:H35" ca="1" si="28">D34/D14</f>
        <v>35.800110706055136</v>
      </c>
      <c r="E35" s="471">
        <f t="shared" ca="1" si="28"/>
        <v>22.366528251555501</v>
      </c>
      <c r="F35" s="471">
        <f t="shared" ca="1" si="28"/>
        <v>14.59008568169283</v>
      </c>
      <c r="G35" s="471">
        <f t="shared" ca="1" si="28"/>
        <v>10.001164279624017</v>
      </c>
      <c r="H35" s="471">
        <f t="shared" ca="1" si="28"/>
        <v>7.760243025274308</v>
      </c>
      <c r="I35" s="465">
        <f t="shared" ref="I35:L35" ca="1" si="29">I34/I14</f>
        <v>7.0691597040613052</v>
      </c>
      <c r="J35" s="465">
        <f t="shared" ca="1" si="29"/>
        <v>6.2367038509953403</v>
      </c>
      <c r="K35" s="465">
        <f t="shared" ca="1" si="29"/>
        <v>5.4849355449737462</v>
      </c>
      <c r="L35" s="465">
        <f t="shared" ca="1" si="29"/>
        <v>4.7179079863429223</v>
      </c>
      <c r="N35" t="s">
        <v>735</v>
      </c>
      <c r="O35" t="s">
        <v>736</v>
      </c>
      <c r="P35" s="4">
        <f t="shared" ref="P35:Q35" ca="1" si="30">P34/P16</f>
        <v>137.47568247431843</v>
      </c>
      <c r="Q35" s="465">
        <f t="shared" ca="1" si="30"/>
        <v>85.936308595578865</v>
      </c>
      <c r="R35" s="465">
        <f t="shared" ref="R35:V35" ca="1" si="31">R34/R16</f>
        <v>54.915544055774774</v>
      </c>
      <c r="S35" s="465">
        <f t="shared" ca="1" si="31"/>
        <v>36.323679835131237</v>
      </c>
      <c r="T35" s="465">
        <f t="shared" ca="1" si="31"/>
        <v>24.831972961767224</v>
      </c>
      <c r="U35" s="465">
        <f t="shared" ca="1" si="31"/>
        <v>18.729286031138244</v>
      </c>
      <c r="V35" s="465">
        <f t="shared" ca="1" si="31"/>
        <v>15.816151912475485</v>
      </c>
      <c r="W35" s="471">
        <f t="shared" ref="W35:Y35" ca="1" si="32">W34/W16</f>
        <v>12.987018873727186</v>
      </c>
      <c r="X35" s="471">
        <f t="shared" ca="1" si="32"/>
        <v>10.312502242826289</v>
      </c>
      <c r="Y35" s="471">
        <f t="shared" ca="1" si="32"/>
        <v>7.8931632955883062</v>
      </c>
    </row>
    <row r="36" spans="1:25" x14ac:dyDescent="0.2">
      <c r="C36" s="256"/>
      <c r="D36" s="256"/>
      <c r="E36" s="256"/>
      <c r="F36" s="256"/>
      <c r="G36" s="256"/>
      <c r="H36" s="256"/>
      <c r="I36" s="256"/>
      <c r="J36" s="256"/>
      <c r="K36" s="256"/>
      <c r="L36" s="256"/>
      <c r="P36" s="256"/>
      <c r="Q36" s="256"/>
      <c r="R36" s="256"/>
      <c r="S36" s="256"/>
      <c r="T36" s="256"/>
      <c r="U36" s="256"/>
      <c r="V36" s="256"/>
      <c r="W36" s="256"/>
      <c r="X36" s="256"/>
      <c r="Y36" s="256"/>
    </row>
    <row r="37" spans="1:25" ht="17.25" x14ac:dyDescent="0.25">
      <c r="A37" s="385" t="s">
        <v>746</v>
      </c>
      <c r="B37" t="s">
        <v>641</v>
      </c>
      <c r="N37" s="385" t="s">
        <v>746</v>
      </c>
      <c r="O37" t="s">
        <v>641</v>
      </c>
    </row>
    <row r="38" spans="1:25" x14ac:dyDescent="0.2">
      <c r="A38" t="s">
        <v>642</v>
      </c>
      <c r="B38" t="s">
        <v>740</v>
      </c>
      <c r="C38" s="418">
        <f>Chem!$E$43*10^-4</f>
        <v>2E-3</v>
      </c>
      <c r="D38" s="418">
        <f>Chem!$E$43*10^-4</f>
        <v>2E-3</v>
      </c>
      <c r="E38" s="418">
        <f>Chem!$E$43*10^-4</f>
        <v>2E-3</v>
      </c>
      <c r="F38" s="418">
        <f>Chem!$E$43*10^-4</f>
        <v>2E-3</v>
      </c>
      <c r="G38" s="418">
        <f>Chem!$E$43*10^-4</f>
        <v>2E-3</v>
      </c>
      <c r="H38" s="418">
        <f>Chem!$E$43*10^-4</f>
        <v>2E-3</v>
      </c>
      <c r="I38" s="418">
        <f>Chem!$E$43*10^-4</f>
        <v>2E-3</v>
      </c>
      <c r="J38" s="418">
        <f>Chem!$E$43*10^-4</f>
        <v>2E-3</v>
      </c>
      <c r="K38" s="418">
        <f>Chem!$E$43*10^-4</f>
        <v>2E-3</v>
      </c>
      <c r="L38" s="418">
        <f>Chem!$E$43*10^-4</f>
        <v>2E-3</v>
      </c>
      <c r="N38" t="s">
        <v>642</v>
      </c>
      <c r="O38" t="s">
        <v>740</v>
      </c>
      <c r="P38" s="256">
        <f t="shared" ref="P38:Y39" si="33">C38</f>
        <v>2E-3</v>
      </c>
      <c r="Q38" s="256">
        <f t="shared" si="33"/>
        <v>2E-3</v>
      </c>
      <c r="R38" s="256">
        <f t="shared" si="33"/>
        <v>2E-3</v>
      </c>
      <c r="S38" s="256">
        <f t="shared" si="33"/>
        <v>2E-3</v>
      </c>
      <c r="T38" s="256">
        <f t="shared" si="33"/>
        <v>2E-3</v>
      </c>
      <c r="U38" s="256">
        <f t="shared" si="33"/>
        <v>2E-3</v>
      </c>
      <c r="V38" s="256">
        <f t="shared" si="33"/>
        <v>2E-3</v>
      </c>
      <c r="W38" s="256">
        <f t="shared" si="33"/>
        <v>2E-3</v>
      </c>
      <c r="X38" s="256">
        <f t="shared" si="33"/>
        <v>2E-3</v>
      </c>
      <c r="Y38" s="256">
        <f t="shared" si="33"/>
        <v>2E-3</v>
      </c>
    </row>
    <row r="39" spans="1:25" ht="15" x14ac:dyDescent="0.25">
      <c r="A39" t="s">
        <v>643</v>
      </c>
      <c r="B39" t="s">
        <v>644</v>
      </c>
      <c r="C39" s="256">
        <f>'Iterative I-V'!C39</f>
        <v>1E-4</v>
      </c>
      <c r="D39" s="256">
        <f>'Iterative I-V'!D39</f>
        <v>1.7000000000000001E-4</v>
      </c>
      <c r="E39" s="256">
        <f>'Iterative I-V'!E39</f>
        <v>2.8900000000000003E-4</v>
      </c>
      <c r="F39" s="256">
        <f>'Iterative I-V'!F39</f>
        <v>4.9130000000000007E-4</v>
      </c>
      <c r="G39" s="256">
        <f>'Iterative I-V'!G39</f>
        <v>8.3521000000000008E-4</v>
      </c>
      <c r="H39" s="256">
        <f>'Iterative I-V'!H39</f>
        <v>1.4198570000000001E-3</v>
      </c>
      <c r="I39" s="256">
        <f>'Iterative I-V'!I39</f>
        <v>2.4137568999999998E-3</v>
      </c>
      <c r="J39" s="256">
        <f>'Iterative I-V'!J39</f>
        <v>4.1033867299999994E-3</v>
      </c>
      <c r="K39" s="256">
        <f>'Iterative I-V'!K39</f>
        <v>6.9757574409999986E-3</v>
      </c>
      <c r="L39" s="256">
        <f>'Iterative I-V'!L39</f>
        <v>1.1858787649699998E-2</v>
      </c>
      <c r="N39" t="s">
        <v>643</v>
      </c>
      <c r="O39" t="s">
        <v>644</v>
      </c>
      <c r="P39" s="212">
        <f t="shared" si="33"/>
        <v>1E-4</v>
      </c>
      <c r="Q39" s="212">
        <f t="shared" si="33"/>
        <v>1.7000000000000001E-4</v>
      </c>
      <c r="R39" s="212">
        <f t="shared" si="33"/>
        <v>2.8900000000000003E-4</v>
      </c>
      <c r="S39" s="212">
        <f t="shared" si="33"/>
        <v>4.9130000000000007E-4</v>
      </c>
      <c r="T39" s="212">
        <f t="shared" si="33"/>
        <v>8.3521000000000008E-4</v>
      </c>
      <c r="U39" s="212">
        <f t="shared" si="33"/>
        <v>1.4198570000000001E-3</v>
      </c>
      <c r="V39" s="212">
        <f t="shared" si="33"/>
        <v>2.4137568999999998E-3</v>
      </c>
      <c r="W39" s="474">
        <f t="shared" si="33"/>
        <v>4.1033867299999994E-3</v>
      </c>
      <c r="X39" s="474">
        <f t="shared" si="33"/>
        <v>6.9757574409999986E-3</v>
      </c>
      <c r="Y39" s="474">
        <f t="shared" si="33"/>
        <v>1.1858787649699998E-2</v>
      </c>
    </row>
    <row r="40" spans="1:25" ht="15" x14ac:dyDescent="0.25">
      <c r="A40" t="s">
        <v>734</v>
      </c>
      <c r="B40" t="s">
        <v>720</v>
      </c>
      <c r="C40" s="66">
        <f t="shared" ref="C40:L40" ca="1" si="34">C41*C14</f>
        <v>6.0207333641550773E-2</v>
      </c>
      <c r="D40" s="472">
        <f t="shared" ca="1" si="34"/>
        <v>6.1547570446130871E-2</v>
      </c>
      <c r="E40" s="472">
        <f t="shared" ca="1" si="34"/>
        <v>6.014354606772359E-2</v>
      </c>
      <c r="F40" s="472">
        <f t="shared" ca="1" si="34"/>
        <v>5.5338330097299569E-2</v>
      </c>
      <c r="G40" s="472">
        <f t="shared" ca="1" si="34"/>
        <v>4.7591020728213848E-2</v>
      </c>
      <c r="H40" s="472">
        <f t="shared" ca="1" si="34"/>
        <v>3.4553856971296169E-2</v>
      </c>
      <c r="I40" s="470">
        <f t="shared" ca="1" si="34"/>
        <v>1.9920116268368957E-2</v>
      </c>
      <c r="J40" s="470">
        <f t="shared" ca="1" si="34"/>
        <v>1.1800661970792397E-2</v>
      </c>
      <c r="K40" s="470">
        <f t="shared" ca="1" si="34"/>
        <v>6.8535383610075027E-3</v>
      </c>
      <c r="L40" s="470">
        <f t="shared" ca="1" si="34"/>
        <v>3.986081809647192E-3</v>
      </c>
      <c r="N40" t="s">
        <v>734</v>
      </c>
      <c r="O40" t="s">
        <v>720</v>
      </c>
      <c r="P40" s="66">
        <f t="shared" ref="P40:Y40" ca="1" si="35">P41*P$16</f>
        <v>1.5839433887018237E-2</v>
      </c>
      <c r="Q40" s="470">
        <f t="shared" ca="1" si="35"/>
        <v>1.6147112780036187E-2</v>
      </c>
      <c r="R40" s="470">
        <f t="shared" ca="1" si="35"/>
        <v>1.5715742207452629E-2</v>
      </c>
      <c r="S40" s="470">
        <f t="shared" ca="1" si="35"/>
        <v>1.4381553520664456E-2</v>
      </c>
      <c r="T40" s="470">
        <f t="shared" ca="1" si="35"/>
        <v>1.2447298507912614E-2</v>
      </c>
      <c r="U40" s="470">
        <f t="shared" ca="1" si="35"/>
        <v>9.1211889648041972E-3</v>
      </c>
      <c r="V40" s="470">
        <f t="shared" ca="1" si="35"/>
        <v>5.3654052734142341E-3</v>
      </c>
      <c r="W40" s="472">
        <f t="shared" ca="1" si="35"/>
        <v>3.1561207490671986E-3</v>
      </c>
      <c r="X40" s="472">
        <f t="shared" ca="1" si="35"/>
        <v>1.8565416170983524E-3</v>
      </c>
      <c r="Y40" s="472">
        <f t="shared" ca="1" si="35"/>
        <v>1.0920833041755014E-3</v>
      </c>
    </row>
    <row r="41" spans="1:25" ht="17.25" x14ac:dyDescent="0.25">
      <c r="A41" t="s">
        <v>735</v>
      </c>
      <c r="B41" t="s">
        <v>736</v>
      </c>
      <c r="C41" s="20">
        <f t="shared" ref="C41" si="36">C38/C39</f>
        <v>20</v>
      </c>
      <c r="D41" s="464">
        <f t="shared" ref="D41:H41" si="37">D38/D39</f>
        <v>11.76470588235294</v>
      </c>
      <c r="E41" s="464">
        <f t="shared" si="37"/>
        <v>6.9204152249134943</v>
      </c>
      <c r="F41" s="464">
        <f t="shared" si="37"/>
        <v>4.0708324852432316</v>
      </c>
      <c r="G41" s="464">
        <f t="shared" si="37"/>
        <v>2.3946073442607245</v>
      </c>
      <c r="H41" s="464">
        <f t="shared" si="37"/>
        <v>1.4085925554474852</v>
      </c>
      <c r="I41" s="464">
        <f t="shared" ref="I41:L41" si="38">I38/I39</f>
        <v>0.82858385614557961</v>
      </c>
      <c r="J41" s="464">
        <f t="shared" si="38"/>
        <v>0.4874022683209292</v>
      </c>
      <c r="K41" s="464">
        <f t="shared" si="38"/>
        <v>0.28670721665937016</v>
      </c>
      <c r="L41" s="464">
        <f t="shared" si="38"/>
        <v>0.16865130391727656</v>
      </c>
      <c r="N41" t="s">
        <v>735</v>
      </c>
      <c r="O41" t="s">
        <v>736</v>
      </c>
      <c r="P41" s="20">
        <f t="shared" ref="P41:Q41" si="39">P38/P39</f>
        <v>20</v>
      </c>
      <c r="Q41" s="464">
        <f t="shared" si="39"/>
        <v>11.76470588235294</v>
      </c>
      <c r="R41" s="464">
        <f t="shared" ref="R41:V41" si="40">R38/R39</f>
        <v>6.9204152249134943</v>
      </c>
      <c r="S41" s="464">
        <f t="shared" si="40"/>
        <v>4.0708324852432316</v>
      </c>
      <c r="T41" s="464">
        <f t="shared" si="40"/>
        <v>2.3946073442607245</v>
      </c>
      <c r="U41" s="464">
        <f t="shared" si="40"/>
        <v>1.4085925554474852</v>
      </c>
      <c r="V41" s="464">
        <f t="shared" si="40"/>
        <v>0.82858385614557961</v>
      </c>
      <c r="W41" s="464">
        <f t="shared" ref="W41:Y41" si="41">W38/W39</f>
        <v>0.4874022683209292</v>
      </c>
      <c r="X41" s="464">
        <f t="shared" si="41"/>
        <v>0.28670721665937016</v>
      </c>
      <c r="Y41" s="464">
        <f t="shared" si="41"/>
        <v>0.16865130391727656</v>
      </c>
    </row>
    <row r="42" spans="1:25" x14ac:dyDescent="0.2">
      <c r="C42" s="256"/>
      <c r="D42" s="256"/>
      <c r="E42" s="256"/>
      <c r="F42" s="256"/>
      <c r="G42" s="256"/>
      <c r="H42" s="256"/>
      <c r="I42" s="256"/>
      <c r="J42" s="256"/>
      <c r="K42" s="256"/>
      <c r="L42" s="256"/>
      <c r="P42" s="256"/>
      <c r="Q42" s="256"/>
      <c r="R42" s="256"/>
      <c r="S42" s="256"/>
      <c r="T42" s="256"/>
      <c r="U42" s="256"/>
      <c r="V42" s="256"/>
      <c r="W42" s="256"/>
      <c r="X42" s="256"/>
      <c r="Y42" s="256"/>
    </row>
    <row r="43" spans="1:25" ht="15" x14ac:dyDescent="0.25">
      <c r="A43" s="385" t="s">
        <v>645</v>
      </c>
      <c r="B43" t="s">
        <v>646</v>
      </c>
      <c r="C43" s="256"/>
      <c r="D43" s="256"/>
      <c r="E43" s="256"/>
      <c r="F43" s="256"/>
      <c r="G43" s="256"/>
      <c r="H43" s="256"/>
      <c r="I43" s="256"/>
      <c r="J43" s="256"/>
      <c r="K43" s="256"/>
      <c r="L43" s="256"/>
      <c r="N43" s="385" t="s">
        <v>645</v>
      </c>
      <c r="O43" t="s">
        <v>646</v>
      </c>
      <c r="P43" s="256"/>
      <c r="Q43" s="256"/>
      <c r="R43" s="256"/>
      <c r="S43" s="256"/>
      <c r="T43" s="256"/>
      <c r="U43" s="256"/>
      <c r="V43" s="256"/>
      <c r="W43" s="256"/>
      <c r="X43" s="256"/>
      <c r="Y43" s="256"/>
    </row>
    <row r="44" spans="1:25" x14ac:dyDescent="0.2">
      <c r="A44" t="s">
        <v>741</v>
      </c>
      <c r="C44" s="256" t="s">
        <v>742</v>
      </c>
      <c r="D44" s="256" t="s">
        <v>742</v>
      </c>
      <c r="E44" s="256" t="s">
        <v>742</v>
      </c>
      <c r="F44" s="256" t="s">
        <v>742</v>
      </c>
      <c r="G44" s="256" t="s">
        <v>742</v>
      </c>
      <c r="H44" s="256" t="s">
        <v>742</v>
      </c>
      <c r="I44" s="256" t="s">
        <v>742</v>
      </c>
      <c r="J44" s="256" t="s">
        <v>742</v>
      </c>
      <c r="K44" s="256" t="s">
        <v>742</v>
      </c>
      <c r="L44" s="256" t="s">
        <v>742</v>
      </c>
      <c r="N44" t="s">
        <v>741</v>
      </c>
      <c r="P44" s="256" t="s">
        <v>742</v>
      </c>
      <c r="Q44" s="256" t="s">
        <v>742</v>
      </c>
      <c r="R44" s="256" t="s">
        <v>742</v>
      </c>
      <c r="S44" s="256" t="s">
        <v>742</v>
      </c>
      <c r="T44" s="256" t="s">
        <v>742</v>
      </c>
      <c r="U44" s="256" t="s">
        <v>742</v>
      </c>
      <c r="V44" s="256" t="s">
        <v>742</v>
      </c>
      <c r="W44" s="256" t="s">
        <v>742</v>
      </c>
      <c r="X44" s="256" t="s">
        <v>742</v>
      </c>
      <c r="Y44" s="256" t="s">
        <v>742</v>
      </c>
    </row>
    <row r="45" spans="1:25" ht="18.75" x14ac:dyDescent="0.35">
      <c r="A45" t="s">
        <v>743</v>
      </c>
      <c r="B45" t="s">
        <v>726</v>
      </c>
      <c r="C45" s="372">
        <f t="shared" ref="C45:L45" si="42">C32</f>
        <v>1E-4</v>
      </c>
      <c r="D45" s="475">
        <f t="shared" ref="D45:H45" si="43">D32</f>
        <v>1.45E-4</v>
      </c>
      <c r="E45" s="475">
        <f t="shared" si="43"/>
        <v>2.1024999999999999E-4</v>
      </c>
      <c r="F45" s="475">
        <f t="shared" si="43"/>
        <v>3.0486249999999999E-4</v>
      </c>
      <c r="G45" s="475">
        <f t="shared" si="43"/>
        <v>4.4205062499999998E-4</v>
      </c>
      <c r="H45" s="475">
        <f t="shared" si="43"/>
        <v>6.4097340624999998E-4</v>
      </c>
      <c r="I45" s="372">
        <f t="shared" si="42"/>
        <v>9.2941143906249989E-4</v>
      </c>
      <c r="J45" s="372">
        <f t="shared" si="42"/>
        <v>1.3476465866406248E-3</v>
      </c>
      <c r="K45" s="372">
        <f t="shared" si="42"/>
        <v>1.9540875506289059E-3</v>
      </c>
      <c r="L45" s="372">
        <f t="shared" si="42"/>
        <v>2.8334269484119137E-3</v>
      </c>
      <c r="N45" t="s">
        <v>743</v>
      </c>
      <c r="O45" t="s">
        <v>726</v>
      </c>
      <c r="P45" s="372">
        <f t="shared" ref="P45:Y46" si="44">C45</f>
        <v>1E-4</v>
      </c>
      <c r="Q45" s="372">
        <f t="shared" si="44"/>
        <v>1.45E-4</v>
      </c>
      <c r="R45" s="372">
        <f t="shared" si="44"/>
        <v>2.1024999999999999E-4</v>
      </c>
      <c r="S45" s="372">
        <f t="shared" si="44"/>
        <v>3.0486249999999999E-4</v>
      </c>
      <c r="T45" s="372">
        <f t="shared" si="44"/>
        <v>4.4205062499999998E-4</v>
      </c>
      <c r="U45" s="372">
        <f t="shared" si="44"/>
        <v>6.4097340624999998E-4</v>
      </c>
      <c r="V45" s="372">
        <f t="shared" si="44"/>
        <v>9.2941143906249989E-4</v>
      </c>
      <c r="W45" s="475">
        <f t="shared" si="44"/>
        <v>1.3476465866406248E-3</v>
      </c>
      <c r="X45" s="475">
        <f t="shared" si="44"/>
        <v>1.9540875506289059E-3</v>
      </c>
      <c r="Y45" s="475">
        <f t="shared" si="44"/>
        <v>2.8334269484119137E-3</v>
      </c>
    </row>
    <row r="46" spans="1:25" ht="15" x14ac:dyDescent="0.25">
      <c r="A46" t="s">
        <v>744</v>
      </c>
      <c r="C46" s="256">
        <f>'Iterative I-V'!C46</f>
        <v>0.5</v>
      </c>
      <c r="D46" s="256">
        <f>'Iterative I-V'!D46</f>
        <v>0.5</v>
      </c>
      <c r="E46" s="256">
        <f>'Iterative I-V'!E46</f>
        <v>0.5</v>
      </c>
      <c r="F46" s="256">
        <f>'Iterative I-V'!F46</f>
        <v>0.5</v>
      </c>
      <c r="G46" s="256">
        <f>'Iterative I-V'!G46</f>
        <v>0.5</v>
      </c>
      <c r="H46" s="256">
        <f>'Iterative I-V'!H46</f>
        <v>0.5</v>
      </c>
      <c r="I46" s="256">
        <f>'Iterative I-V'!I46</f>
        <v>0.5</v>
      </c>
      <c r="J46" s="256">
        <f>'Iterative I-V'!J46</f>
        <v>0.5</v>
      </c>
      <c r="K46" s="256">
        <f>'Iterative I-V'!K46</f>
        <v>0.5</v>
      </c>
      <c r="L46" s="256">
        <f>'Iterative I-V'!L46</f>
        <v>0.5</v>
      </c>
      <c r="N46" t="s">
        <v>744</v>
      </c>
      <c r="P46" s="256">
        <f t="shared" si="44"/>
        <v>0.5</v>
      </c>
      <c r="Q46" s="256">
        <f t="shared" si="44"/>
        <v>0.5</v>
      </c>
      <c r="R46" s="256">
        <f t="shared" si="44"/>
        <v>0.5</v>
      </c>
      <c r="S46" s="256">
        <f t="shared" si="44"/>
        <v>0.5</v>
      </c>
      <c r="T46" s="256">
        <f t="shared" si="44"/>
        <v>0.5</v>
      </c>
      <c r="U46" s="256">
        <f t="shared" si="44"/>
        <v>0.5</v>
      </c>
      <c r="V46" s="256">
        <f t="shared" si="44"/>
        <v>0.5</v>
      </c>
      <c r="W46" s="256">
        <f t="shared" si="44"/>
        <v>0.5</v>
      </c>
      <c r="X46" s="256">
        <f t="shared" si="44"/>
        <v>0.5</v>
      </c>
      <c r="Y46" s="256">
        <f t="shared" si="44"/>
        <v>0.5</v>
      </c>
    </row>
    <row r="47" spans="1:25" ht="15" x14ac:dyDescent="0.25">
      <c r="A47" t="s">
        <v>734</v>
      </c>
      <c r="B47" t="s">
        <v>720</v>
      </c>
      <c r="C47" s="20">
        <f t="shared" ref="C47:L47" ca="1" si="45">8.31443*303/(C46*96485.3)*ASINH(C14/(2*C45))</f>
        <v>0.17785109573526545</v>
      </c>
      <c r="D47" s="464">
        <f t="shared" ca="1" si="45"/>
        <v>0.18728983603111807</v>
      </c>
      <c r="E47" s="464">
        <f t="shared" ca="1" si="45"/>
        <v>0.19438173556837185</v>
      </c>
      <c r="F47" s="464">
        <f t="shared" ca="1" si="45"/>
        <v>0.19833559364778441</v>
      </c>
      <c r="G47" s="464">
        <f t="shared" ca="1" si="45"/>
        <v>0.19876562129429245</v>
      </c>
      <c r="H47" s="464">
        <f t="shared" ca="1" si="45"/>
        <v>0.19036472010363689</v>
      </c>
      <c r="I47" s="464">
        <f t="shared" ca="1" si="45"/>
        <v>0.16995079276541991</v>
      </c>
      <c r="J47" s="464">
        <f t="shared" ca="1" si="45"/>
        <v>0.15099895659302764</v>
      </c>
      <c r="K47" s="464">
        <f t="shared" ca="1" si="45"/>
        <v>0.13111360294007657</v>
      </c>
      <c r="L47" s="464">
        <f t="shared" ca="1" si="45"/>
        <v>0.11150798580943708</v>
      </c>
      <c r="N47" t="s">
        <v>734</v>
      </c>
      <c r="O47" t="s">
        <v>720</v>
      </c>
      <c r="P47" s="20">
        <f t="shared" ref="P47:Q47" ca="1" si="46">8.31443*303/(P46*96485.3)*ASINH(P$16/(2*P45))</f>
        <v>0.10887684918123393</v>
      </c>
      <c r="Q47" s="464">
        <f t="shared" ca="1" si="46"/>
        <v>0.11794797767738845</v>
      </c>
      <c r="R47" s="464">
        <f t="shared" ref="R47:V47" ca="1" si="47">8.31443*303/(R46*96485.3)*ASINH(R$16/(2*R45))</f>
        <v>0.12470906809979052</v>
      </c>
      <c r="S47" s="464">
        <f t="shared" ca="1" si="47"/>
        <v>0.12832533579067365</v>
      </c>
      <c r="T47" s="464">
        <f t="shared" ca="1" si="47"/>
        <v>0.12907793870103398</v>
      </c>
      <c r="U47" s="464">
        <f t="shared" ca="1" si="47"/>
        <v>0.12127946893174428</v>
      </c>
      <c r="V47" s="464">
        <f t="shared" ca="1" si="47"/>
        <v>0.1024157835648284</v>
      </c>
      <c r="W47" s="464">
        <f t="shared" ref="W47:Y47" ca="1" si="48">8.31443*303/(W46*96485.3)*ASINH(W$16/(2*W45))</f>
        <v>8.4096038118782038E-2</v>
      </c>
      <c r="X47" s="464">
        <f t="shared" ca="1" si="48"/>
        <v>6.6777494523179423E-2</v>
      </c>
      <c r="Y47" s="464">
        <f t="shared" ca="1" si="48"/>
        <v>5.1111326458946157E-2</v>
      </c>
    </row>
    <row r="48" spans="1:25" ht="17.25" x14ac:dyDescent="0.25">
      <c r="A48" t="s">
        <v>735</v>
      </c>
      <c r="B48" t="s">
        <v>736</v>
      </c>
      <c r="C48" s="4">
        <f t="shared" ref="C48" ca="1" si="49">C47/C$14</f>
        <v>59.079545622836022</v>
      </c>
      <c r="D48" s="471">
        <f t="shared" ref="D48:H48" ca="1" si="50">D47/D$14</f>
        <v>35.800110706055136</v>
      </c>
      <c r="E48" s="471">
        <f t="shared" ca="1" si="50"/>
        <v>22.366528251555501</v>
      </c>
      <c r="F48" s="471">
        <f t="shared" ca="1" si="50"/>
        <v>14.59008568169283</v>
      </c>
      <c r="G48" s="471">
        <f t="shared" ca="1" si="50"/>
        <v>10.001164279624017</v>
      </c>
      <c r="H48" s="471">
        <f t="shared" ca="1" si="50"/>
        <v>7.760243025274308</v>
      </c>
      <c r="I48" s="465">
        <f t="shared" ref="I48:L48" ca="1" si="51">I47/I$14</f>
        <v>7.0691597040613052</v>
      </c>
      <c r="J48" s="465">
        <f t="shared" ca="1" si="51"/>
        <v>6.2367038509953403</v>
      </c>
      <c r="K48" s="465">
        <f t="shared" ca="1" si="51"/>
        <v>5.4849355449737462</v>
      </c>
      <c r="L48" s="465">
        <f t="shared" ca="1" si="51"/>
        <v>4.7179079863429223</v>
      </c>
      <c r="N48" t="s">
        <v>735</v>
      </c>
      <c r="O48" t="s">
        <v>736</v>
      </c>
      <c r="P48" s="4">
        <f t="shared" ref="P48:Q48" ca="1" si="52">P47/P$16</f>
        <v>137.47568247431843</v>
      </c>
      <c r="Q48" s="465">
        <f t="shared" ca="1" si="52"/>
        <v>85.936308595578865</v>
      </c>
      <c r="R48" s="465">
        <f t="shared" ref="R48:V48" ca="1" si="53">R47/R$16</f>
        <v>54.915544055774774</v>
      </c>
      <c r="S48" s="465">
        <f t="shared" ca="1" si="53"/>
        <v>36.323679835131237</v>
      </c>
      <c r="T48" s="465">
        <f t="shared" ca="1" si="53"/>
        <v>24.831972961767224</v>
      </c>
      <c r="U48" s="465">
        <f t="shared" ca="1" si="53"/>
        <v>18.729286031138244</v>
      </c>
      <c r="V48" s="465">
        <f t="shared" ca="1" si="53"/>
        <v>15.816151912475485</v>
      </c>
      <c r="W48" s="471">
        <f t="shared" ref="W48:Y48" ca="1" si="54">W47/W$16</f>
        <v>12.987018873727186</v>
      </c>
      <c r="X48" s="471">
        <f t="shared" ca="1" si="54"/>
        <v>10.312502242826289</v>
      </c>
      <c r="Y48" s="471">
        <f t="shared" ca="1" si="54"/>
        <v>7.8931632955883062</v>
      </c>
    </row>
    <row r="49" spans="1:25" x14ac:dyDescent="0.2">
      <c r="C49" s="20"/>
      <c r="D49" s="464"/>
      <c r="E49" s="464"/>
      <c r="F49" s="464"/>
      <c r="G49" s="464"/>
      <c r="H49" s="464"/>
      <c r="I49" s="464"/>
      <c r="J49" s="464"/>
      <c r="K49" s="464"/>
      <c r="L49" s="464"/>
      <c r="P49" s="212"/>
      <c r="Q49" s="212"/>
      <c r="R49" s="212"/>
      <c r="S49" s="212"/>
      <c r="T49" s="212"/>
      <c r="U49" s="212"/>
      <c r="V49" s="212"/>
      <c r="W49" s="474"/>
      <c r="X49" s="474"/>
      <c r="Y49" s="474"/>
    </row>
    <row r="50" spans="1:25" ht="15" x14ac:dyDescent="0.25">
      <c r="A50" s="385" t="s">
        <v>647</v>
      </c>
      <c r="B50" t="s">
        <v>648</v>
      </c>
      <c r="C50" s="256"/>
      <c r="D50" s="256"/>
      <c r="E50" s="256"/>
      <c r="F50" s="256"/>
      <c r="G50" s="256"/>
      <c r="H50" s="256"/>
      <c r="I50" s="256"/>
      <c r="J50" s="256"/>
      <c r="K50" s="256"/>
      <c r="L50" s="256"/>
      <c r="N50" s="385" t="s">
        <v>647</v>
      </c>
      <c r="O50" t="s">
        <v>648</v>
      </c>
      <c r="P50" s="256"/>
      <c r="Q50" s="256"/>
      <c r="R50" s="256"/>
      <c r="S50" s="256"/>
      <c r="T50" s="256"/>
      <c r="U50" s="256"/>
      <c r="V50" s="256"/>
      <c r="W50" s="256"/>
      <c r="X50" s="256"/>
      <c r="Y50" s="256"/>
    </row>
    <row r="51" spans="1:25" ht="17.25" x14ac:dyDescent="0.25">
      <c r="A51" s="365" t="s">
        <v>649</v>
      </c>
      <c r="B51" s="366" t="s">
        <v>747</v>
      </c>
      <c r="C51" s="420">
        <f>Chem!$E$7*Chem!$E$20</f>
        <v>2698.08</v>
      </c>
      <c r="D51" s="420">
        <f>Chem!$E$7*Chem!$E$20</f>
        <v>2698.08</v>
      </c>
      <c r="E51" s="420">
        <f>Chem!$E$7*Chem!$E$20</f>
        <v>2698.08</v>
      </c>
      <c r="F51" s="420">
        <f>Chem!$E$7*Chem!$E$20</f>
        <v>2698.08</v>
      </c>
      <c r="G51" s="420">
        <f>Chem!$E$7*Chem!$E$20</f>
        <v>2698.08</v>
      </c>
      <c r="H51" s="420">
        <f>Chem!$E$7*Chem!$E$20</f>
        <v>2698.08</v>
      </c>
      <c r="I51" s="420">
        <f>Chem!$E$7*Chem!$E$20</f>
        <v>2698.08</v>
      </c>
      <c r="J51" s="420">
        <f>Chem!$E$7*Chem!$E$20</f>
        <v>2698.08</v>
      </c>
      <c r="K51" s="420">
        <f>Chem!$E$7*Chem!$E$20</f>
        <v>2698.08</v>
      </c>
      <c r="L51" s="420">
        <f>Chem!$E$7*Chem!$E$20</f>
        <v>2698.08</v>
      </c>
      <c r="N51" s="365" t="s">
        <v>649</v>
      </c>
      <c r="O51" s="366" t="s">
        <v>747</v>
      </c>
      <c r="P51" s="256">
        <f t="shared" ref="P51:Y59" si="55">C51</f>
        <v>2698.08</v>
      </c>
      <c r="Q51" s="256">
        <f t="shared" si="55"/>
        <v>2698.08</v>
      </c>
      <c r="R51" s="256">
        <f t="shared" si="55"/>
        <v>2698.08</v>
      </c>
      <c r="S51" s="256">
        <f t="shared" si="55"/>
        <v>2698.08</v>
      </c>
      <c r="T51" s="256">
        <f t="shared" si="55"/>
        <v>2698.08</v>
      </c>
      <c r="U51" s="256">
        <f t="shared" si="55"/>
        <v>2698.08</v>
      </c>
      <c r="V51" s="256">
        <f t="shared" si="55"/>
        <v>2698.08</v>
      </c>
      <c r="W51" s="256">
        <f t="shared" si="55"/>
        <v>2698.08</v>
      </c>
      <c r="X51" s="256">
        <f t="shared" si="55"/>
        <v>2698.08</v>
      </c>
      <c r="Y51" s="256">
        <f t="shared" si="55"/>
        <v>2698.08</v>
      </c>
    </row>
    <row r="52" spans="1:25" ht="17.25" x14ac:dyDescent="0.25">
      <c r="A52" s="365" t="s">
        <v>748</v>
      </c>
      <c r="B52" t="s">
        <v>749</v>
      </c>
      <c r="C52" s="421">
        <f>'Iterative I-V'!C52</f>
        <v>0.6</v>
      </c>
      <c r="D52" s="421">
        <f>'Iterative I-V'!D52</f>
        <v>0.6</v>
      </c>
      <c r="E52" s="421">
        <f>'Iterative I-V'!E52</f>
        <v>0.6</v>
      </c>
      <c r="F52" s="421">
        <f>'Iterative I-V'!F52</f>
        <v>0.6</v>
      </c>
      <c r="G52" s="421">
        <f>'Iterative I-V'!G52</f>
        <v>0.6</v>
      </c>
      <c r="H52" s="421">
        <f>'Iterative I-V'!H52</f>
        <v>0.6</v>
      </c>
      <c r="I52" s="421">
        <f>'Iterative I-V'!I52</f>
        <v>0.6</v>
      </c>
      <c r="J52" s="421">
        <f>'Iterative I-V'!J52</f>
        <v>0.6</v>
      </c>
      <c r="K52" s="421">
        <f>'Iterative I-V'!K52</f>
        <v>0.6</v>
      </c>
      <c r="L52" s="421">
        <f>'Iterative I-V'!L52</f>
        <v>0.6</v>
      </c>
      <c r="N52" s="365" t="s">
        <v>748</v>
      </c>
      <c r="O52" t="s">
        <v>749</v>
      </c>
      <c r="P52" s="256">
        <f t="shared" si="55"/>
        <v>0.6</v>
      </c>
      <c r="Q52" s="256">
        <f t="shared" si="55"/>
        <v>0.6</v>
      </c>
      <c r="R52" s="256">
        <f t="shared" si="55"/>
        <v>0.6</v>
      </c>
      <c r="S52" s="256">
        <f t="shared" si="55"/>
        <v>0.6</v>
      </c>
      <c r="T52" s="256">
        <f t="shared" si="55"/>
        <v>0.6</v>
      </c>
      <c r="U52" s="256">
        <f t="shared" si="55"/>
        <v>0.6</v>
      </c>
      <c r="V52" s="256">
        <f t="shared" si="55"/>
        <v>0.6</v>
      </c>
      <c r="W52" s="256">
        <f t="shared" si="55"/>
        <v>0.6</v>
      </c>
      <c r="X52" s="256">
        <f t="shared" si="55"/>
        <v>0.6</v>
      </c>
      <c r="Y52" s="256">
        <f t="shared" si="55"/>
        <v>0.6</v>
      </c>
    </row>
    <row r="53" spans="1:25" ht="17.25" x14ac:dyDescent="0.25">
      <c r="A53" t="s">
        <v>750</v>
      </c>
      <c r="B53" t="s">
        <v>749</v>
      </c>
      <c r="C53" s="421">
        <f>Chem!$E$18/100</f>
        <v>0.25</v>
      </c>
      <c r="D53" s="421">
        <f>Chem!$E$18/100</f>
        <v>0.25</v>
      </c>
      <c r="E53" s="421">
        <f>Chem!$E$18/100</f>
        <v>0.25</v>
      </c>
      <c r="F53" s="421">
        <f>Chem!$E$18/100</f>
        <v>0.25</v>
      </c>
      <c r="G53" s="421">
        <f>Chem!$E$18/100</f>
        <v>0.25</v>
      </c>
      <c r="H53" s="421">
        <f>Chem!$E$18/100</f>
        <v>0.25</v>
      </c>
      <c r="I53" s="421">
        <f>Chem!$E$18/100</f>
        <v>0.25</v>
      </c>
      <c r="J53" s="421">
        <f>Chem!$E$18/100</f>
        <v>0.25</v>
      </c>
      <c r="K53" s="421">
        <f>Chem!$E$18/100</f>
        <v>0.25</v>
      </c>
      <c r="L53" s="421">
        <f>Chem!$E$18/100</f>
        <v>0.25</v>
      </c>
      <c r="N53" t="s">
        <v>750</v>
      </c>
      <c r="O53" t="s">
        <v>749</v>
      </c>
      <c r="P53" s="256">
        <f t="shared" si="55"/>
        <v>0.25</v>
      </c>
      <c r="Q53" s="256">
        <f t="shared" si="55"/>
        <v>0.25</v>
      </c>
      <c r="R53" s="256">
        <f t="shared" si="55"/>
        <v>0.25</v>
      </c>
      <c r="S53" s="256">
        <f t="shared" si="55"/>
        <v>0.25</v>
      </c>
      <c r="T53" s="256">
        <f t="shared" si="55"/>
        <v>0.25</v>
      </c>
      <c r="U53" s="256">
        <f t="shared" si="55"/>
        <v>0.25</v>
      </c>
      <c r="V53" s="256">
        <f t="shared" si="55"/>
        <v>0.25</v>
      </c>
      <c r="W53" s="256">
        <f t="shared" si="55"/>
        <v>0.25</v>
      </c>
      <c r="X53" s="256">
        <f t="shared" si="55"/>
        <v>0.25</v>
      </c>
      <c r="Y53" s="256">
        <f t="shared" si="55"/>
        <v>0.25</v>
      </c>
    </row>
    <row r="54" spans="1:25" ht="17.25" x14ac:dyDescent="0.25">
      <c r="A54" t="s">
        <v>751</v>
      </c>
      <c r="B54" t="s">
        <v>749</v>
      </c>
      <c r="C54" s="421">
        <f>(Chem!$E$10+Chem!$E$11)/100</f>
        <v>0.1</v>
      </c>
      <c r="D54" s="421">
        <f>(Chem!$E$10+Chem!$E$11)/100</f>
        <v>0.1</v>
      </c>
      <c r="E54" s="421">
        <f>(Chem!$E$10+Chem!$E$11)/100</f>
        <v>0.1</v>
      </c>
      <c r="F54" s="421">
        <f>(Chem!$E$10+Chem!$E$11)/100</f>
        <v>0.1</v>
      </c>
      <c r="G54" s="421">
        <f>(Chem!$E$10+Chem!$E$11)/100</f>
        <v>0.1</v>
      </c>
      <c r="H54" s="421">
        <f>(Chem!$E$10+Chem!$E$11)/100</f>
        <v>0.1</v>
      </c>
      <c r="I54" s="421">
        <f>(Chem!$E$10+Chem!$E$11)/100</f>
        <v>0.1</v>
      </c>
      <c r="J54" s="421">
        <f>(Chem!$E$10+Chem!$E$11)/100</f>
        <v>0.1</v>
      </c>
      <c r="K54" s="421">
        <f>(Chem!$E$10+Chem!$E$11)/100</f>
        <v>0.1</v>
      </c>
      <c r="L54" s="421">
        <f>(Chem!$E$10+Chem!$E$11)/100</f>
        <v>0.1</v>
      </c>
      <c r="N54" t="s">
        <v>751</v>
      </c>
      <c r="O54" t="s">
        <v>749</v>
      </c>
      <c r="P54" s="256">
        <f t="shared" si="55"/>
        <v>0.1</v>
      </c>
      <c r="Q54" s="256">
        <f t="shared" si="55"/>
        <v>0.1</v>
      </c>
      <c r="R54" s="256">
        <f t="shared" si="55"/>
        <v>0.1</v>
      </c>
      <c r="S54" s="256">
        <f t="shared" si="55"/>
        <v>0.1</v>
      </c>
      <c r="T54" s="256">
        <f t="shared" si="55"/>
        <v>0.1</v>
      </c>
      <c r="U54" s="256">
        <f t="shared" si="55"/>
        <v>0.1</v>
      </c>
      <c r="V54" s="256">
        <f t="shared" si="55"/>
        <v>0.1</v>
      </c>
      <c r="W54" s="256">
        <f t="shared" si="55"/>
        <v>0.1</v>
      </c>
      <c r="X54" s="256">
        <f t="shared" si="55"/>
        <v>0.1</v>
      </c>
      <c r="Y54" s="256">
        <f t="shared" si="55"/>
        <v>0.1</v>
      </c>
    </row>
    <row r="55" spans="1:25" x14ac:dyDescent="0.2">
      <c r="A55" t="s">
        <v>739</v>
      </c>
      <c r="B55" t="s">
        <v>740</v>
      </c>
      <c r="C55" s="429">
        <f ca="1">'Iterative I-V'!C132/10000</f>
        <v>2.4460965277363759E-3</v>
      </c>
      <c r="D55" s="472">
        <f ca="1">'Iterative I-V'!D132/10000</f>
        <v>4.2391397657552642E-3</v>
      </c>
      <c r="E55" s="472">
        <f ca="1">'Iterative I-V'!E132/10000</f>
        <v>7.0140147468327118E-3</v>
      </c>
      <c r="F55" s="472">
        <f ca="1">'Iterative I-V'!F132/10000</f>
        <v>1.0911551369705591E-2</v>
      </c>
      <c r="G55" s="472">
        <f ca="1">'Iterative I-V'!G132/10000</f>
        <v>1.605479357357377E-2</v>
      </c>
      <c r="H55" s="472">
        <f ca="1">'Iterative I-V'!H132/10000</f>
        <v>0.02</v>
      </c>
      <c r="I55" s="470">
        <f ca="1">'Iterative I-V'!I132/10000</f>
        <v>0.02</v>
      </c>
      <c r="J55" s="470">
        <f ca="1">'Iterative I-V'!J132/10000</f>
        <v>0.02</v>
      </c>
      <c r="K55" s="470">
        <f ca="1">'Iterative I-V'!K132/10000</f>
        <v>0.02</v>
      </c>
      <c r="L55" s="470">
        <f ca="1">'Iterative I-V'!L132/10000</f>
        <v>0.02</v>
      </c>
      <c r="M55" s="66"/>
      <c r="N55" t="s">
        <v>739</v>
      </c>
      <c r="O55" t="s">
        <v>740</v>
      </c>
      <c r="P55" s="212">
        <f t="shared" ca="1" si="55"/>
        <v>2.4460965277363759E-3</v>
      </c>
      <c r="Q55" s="212">
        <f t="shared" ca="1" si="55"/>
        <v>4.2391397657552642E-3</v>
      </c>
      <c r="R55" s="212">
        <f t="shared" ca="1" si="55"/>
        <v>7.0140147468327118E-3</v>
      </c>
      <c r="S55" s="212">
        <f t="shared" ca="1" si="55"/>
        <v>1.0911551369705591E-2</v>
      </c>
      <c r="T55" s="212">
        <f t="shared" ca="1" si="55"/>
        <v>1.605479357357377E-2</v>
      </c>
      <c r="U55" s="212">
        <f t="shared" ca="1" si="55"/>
        <v>0.02</v>
      </c>
      <c r="V55" s="212">
        <f t="shared" ca="1" si="55"/>
        <v>0.02</v>
      </c>
      <c r="W55" s="474">
        <f t="shared" ca="1" si="55"/>
        <v>0.02</v>
      </c>
      <c r="X55" s="474">
        <f t="shared" ca="1" si="55"/>
        <v>0.02</v>
      </c>
      <c r="Y55" s="474">
        <f t="shared" ca="1" si="55"/>
        <v>0.02</v>
      </c>
    </row>
    <row r="56" spans="1:25" ht="17.25" x14ac:dyDescent="0.25">
      <c r="A56" t="s">
        <v>752</v>
      </c>
      <c r="B56" t="s">
        <v>753</v>
      </c>
      <c r="C56" s="256">
        <f>'Iterative I-V'!C56</f>
        <v>5000</v>
      </c>
      <c r="D56" s="256">
        <f>'Iterative I-V'!D56</f>
        <v>5000</v>
      </c>
      <c r="E56" s="256">
        <f>'Iterative I-V'!E56</f>
        <v>5000</v>
      </c>
      <c r="F56" s="256">
        <f>'Iterative I-V'!F56</f>
        <v>5000</v>
      </c>
      <c r="G56" s="256">
        <f>'Iterative I-V'!G56</f>
        <v>5000</v>
      </c>
      <c r="H56" s="256">
        <f>'Iterative I-V'!H56</f>
        <v>5000</v>
      </c>
      <c r="I56" s="256">
        <f>'Iterative I-V'!I56</f>
        <v>5000</v>
      </c>
      <c r="J56" s="256">
        <f>'Iterative I-V'!J56</f>
        <v>5000</v>
      </c>
      <c r="K56" s="256">
        <f>'Iterative I-V'!K56</f>
        <v>5000</v>
      </c>
      <c r="L56" s="256">
        <f>'Iterative I-V'!L56</f>
        <v>5000</v>
      </c>
      <c r="N56" t="s">
        <v>752</v>
      </c>
      <c r="O56" t="s">
        <v>753</v>
      </c>
      <c r="P56" s="256">
        <f t="shared" si="55"/>
        <v>5000</v>
      </c>
      <c r="Q56" s="256">
        <f t="shared" si="55"/>
        <v>5000</v>
      </c>
      <c r="R56" s="256">
        <f t="shared" si="55"/>
        <v>5000</v>
      </c>
      <c r="S56" s="256">
        <f t="shared" si="55"/>
        <v>5000</v>
      </c>
      <c r="T56" s="256">
        <f t="shared" si="55"/>
        <v>5000</v>
      </c>
      <c r="U56" s="256">
        <f t="shared" si="55"/>
        <v>5000</v>
      </c>
      <c r="V56" s="256">
        <f t="shared" si="55"/>
        <v>5000</v>
      </c>
      <c r="W56" s="256">
        <f t="shared" si="55"/>
        <v>5000</v>
      </c>
      <c r="X56" s="256">
        <f t="shared" si="55"/>
        <v>5000</v>
      </c>
      <c r="Y56" s="256">
        <f t="shared" si="55"/>
        <v>5000</v>
      </c>
    </row>
    <row r="57" spans="1:25" ht="17.25" x14ac:dyDescent="0.25">
      <c r="A57" t="s">
        <v>754</v>
      </c>
      <c r="B57" t="s">
        <v>755</v>
      </c>
      <c r="C57" s="4">
        <f t="shared" ref="C57" ca="1" si="56">C56*C55</f>
        <v>12.230482638681879</v>
      </c>
      <c r="D57" s="471">
        <f t="shared" ref="D57:H57" ca="1" si="57">D56*D55</f>
        <v>21.195698828776322</v>
      </c>
      <c r="E57" s="471">
        <f t="shared" ca="1" si="57"/>
        <v>35.070073734163557</v>
      </c>
      <c r="F57" s="471">
        <f t="shared" ca="1" si="57"/>
        <v>54.557756848527958</v>
      </c>
      <c r="G57" s="471">
        <f t="shared" ca="1" si="57"/>
        <v>80.273967867868848</v>
      </c>
      <c r="H57" s="471">
        <f t="shared" ca="1" si="57"/>
        <v>100</v>
      </c>
      <c r="I57" s="465">
        <f t="shared" ref="I57:L57" ca="1" si="58">I56*I55</f>
        <v>100</v>
      </c>
      <c r="J57" s="465">
        <f t="shared" ca="1" si="58"/>
        <v>100</v>
      </c>
      <c r="K57" s="465">
        <f t="shared" ca="1" si="58"/>
        <v>100</v>
      </c>
      <c r="L57" s="465">
        <f t="shared" ca="1" si="58"/>
        <v>100</v>
      </c>
      <c r="N57" t="s">
        <v>754</v>
      </c>
      <c r="O57" t="s">
        <v>755</v>
      </c>
      <c r="P57" s="6">
        <f t="shared" ca="1" si="55"/>
        <v>12.230482638681879</v>
      </c>
      <c r="Q57" s="466">
        <f t="shared" ca="1" si="55"/>
        <v>21.195698828776322</v>
      </c>
      <c r="R57" s="466">
        <f t="shared" ca="1" si="55"/>
        <v>35.070073734163557</v>
      </c>
      <c r="S57" s="466">
        <f t="shared" ca="1" si="55"/>
        <v>54.557756848527958</v>
      </c>
      <c r="T57" s="466">
        <f t="shared" ca="1" si="55"/>
        <v>80.273967867868848</v>
      </c>
      <c r="U57" s="466">
        <f t="shared" ca="1" si="55"/>
        <v>100</v>
      </c>
      <c r="V57" s="466">
        <f t="shared" ca="1" si="55"/>
        <v>100</v>
      </c>
      <c r="W57" s="473">
        <f t="shared" ca="1" si="55"/>
        <v>100</v>
      </c>
      <c r="X57" s="473">
        <f t="shared" ca="1" si="55"/>
        <v>100</v>
      </c>
      <c r="Y57" s="473">
        <f t="shared" ca="1" si="55"/>
        <v>100</v>
      </c>
    </row>
    <row r="58" spans="1:25" ht="18" x14ac:dyDescent="0.35">
      <c r="A58" t="s">
        <v>756</v>
      </c>
      <c r="B58" t="s">
        <v>644</v>
      </c>
      <c r="C58" s="423">
        <f>Chem!$E$51*C53^1.5</f>
        <v>1.2500000000000002E-3</v>
      </c>
      <c r="D58" s="423">
        <f>Chem!$E$51*D53^1.5</f>
        <v>1.2500000000000002E-3</v>
      </c>
      <c r="E58" s="423">
        <f>Chem!$E$51*E53^1.5</f>
        <v>1.2500000000000002E-3</v>
      </c>
      <c r="F58" s="423">
        <f>Chem!$E$51*F53^1.5</f>
        <v>1.2500000000000002E-3</v>
      </c>
      <c r="G58" s="423">
        <f>Chem!$E$51*G53^1.5</f>
        <v>1.2500000000000002E-3</v>
      </c>
      <c r="H58" s="423">
        <f>Chem!$E$51*H53^1.5</f>
        <v>1.2500000000000002E-3</v>
      </c>
      <c r="I58" s="423">
        <f>Chem!$E$51*I53^1.5</f>
        <v>1.2500000000000002E-3</v>
      </c>
      <c r="J58" s="423">
        <f>Chem!$E$51*J53^1.5</f>
        <v>1.2500000000000002E-3</v>
      </c>
      <c r="K58" s="423">
        <f>Chem!$E$51*K53^1.5</f>
        <v>1.2500000000000002E-3</v>
      </c>
      <c r="L58" s="423">
        <f>Chem!$E$51*L53^1.5</f>
        <v>1.2500000000000002E-3</v>
      </c>
      <c r="N58" t="s">
        <v>756</v>
      </c>
      <c r="O58" t="s">
        <v>644</v>
      </c>
      <c r="P58" s="256">
        <f t="shared" si="55"/>
        <v>1.2500000000000002E-3</v>
      </c>
      <c r="Q58" s="256">
        <f t="shared" si="55"/>
        <v>1.2500000000000002E-3</v>
      </c>
      <c r="R58" s="256">
        <f t="shared" si="55"/>
        <v>1.2500000000000002E-3</v>
      </c>
      <c r="S58" s="256">
        <f t="shared" si="55"/>
        <v>1.2500000000000002E-3</v>
      </c>
      <c r="T58" s="256">
        <f t="shared" si="55"/>
        <v>1.2500000000000002E-3</v>
      </c>
      <c r="U58" s="256">
        <f t="shared" si="55"/>
        <v>1.2500000000000002E-3</v>
      </c>
      <c r="V58" s="256">
        <f t="shared" si="55"/>
        <v>1.2500000000000002E-3</v>
      </c>
      <c r="W58" s="256">
        <f t="shared" si="55"/>
        <v>1.2500000000000002E-3</v>
      </c>
      <c r="X58" s="256">
        <f t="shared" si="55"/>
        <v>1.2500000000000002E-3</v>
      </c>
      <c r="Y58" s="256">
        <f t="shared" si="55"/>
        <v>1.2500000000000002E-3</v>
      </c>
    </row>
    <row r="59" spans="1:25" ht="18" x14ac:dyDescent="0.35">
      <c r="A59" t="s">
        <v>757</v>
      </c>
      <c r="B59" t="s">
        <v>644</v>
      </c>
      <c r="C59" s="212">
        <f>100*C54^1.5</f>
        <v>3.16227766016838</v>
      </c>
      <c r="D59" s="474">
        <f t="shared" ref="D59:L59" si="59">100*D54^1.5</f>
        <v>3.16227766016838</v>
      </c>
      <c r="E59" s="474">
        <f t="shared" si="59"/>
        <v>3.16227766016838</v>
      </c>
      <c r="F59" s="474">
        <f t="shared" si="59"/>
        <v>3.16227766016838</v>
      </c>
      <c r="G59" s="474">
        <f t="shared" si="59"/>
        <v>3.16227766016838</v>
      </c>
      <c r="H59" s="474">
        <f t="shared" si="59"/>
        <v>3.16227766016838</v>
      </c>
      <c r="I59" s="474">
        <f t="shared" si="59"/>
        <v>3.16227766016838</v>
      </c>
      <c r="J59" s="474">
        <f t="shared" si="59"/>
        <v>3.16227766016838</v>
      </c>
      <c r="K59" s="474">
        <f t="shared" si="59"/>
        <v>3.16227766016838</v>
      </c>
      <c r="L59" s="474">
        <f t="shared" si="59"/>
        <v>3.16227766016838</v>
      </c>
      <c r="N59" t="s">
        <v>757</v>
      </c>
      <c r="O59" t="s">
        <v>644</v>
      </c>
      <c r="P59" s="66">
        <f t="shared" si="55"/>
        <v>3.16227766016838</v>
      </c>
      <c r="Q59" s="470">
        <f t="shared" si="55"/>
        <v>3.16227766016838</v>
      </c>
      <c r="R59" s="470">
        <f t="shared" si="55"/>
        <v>3.16227766016838</v>
      </c>
      <c r="S59" s="470">
        <f t="shared" si="55"/>
        <v>3.16227766016838</v>
      </c>
      <c r="T59" s="470">
        <f t="shared" si="55"/>
        <v>3.16227766016838</v>
      </c>
      <c r="U59" s="470">
        <f t="shared" si="55"/>
        <v>3.16227766016838</v>
      </c>
      <c r="V59" s="470">
        <f t="shared" si="55"/>
        <v>3.16227766016838</v>
      </c>
      <c r="W59" s="472">
        <f t="shared" si="55"/>
        <v>3.16227766016838</v>
      </c>
      <c r="X59" s="472">
        <f t="shared" si="55"/>
        <v>3.16227766016838</v>
      </c>
      <c r="Y59" s="472">
        <f t="shared" si="55"/>
        <v>3.16227766016838</v>
      </c>
    </row>
    <row r="60" spans="1:25" ht="15" x14ac:dyDescent="0.25">
      <c r="A60" t="s">
        <v>656</v>
      </c>
      <c r="C60" s="370" t="str">
        <f t="shared" ref="C60" ca="1" si="60">IF(ABS(C14)&gt;C56*C62*C55,"Use Tafel", "Use Linear")</f>
        <v>Use Tafel</v>
      </c>
      <c r="D60" s="370" t="str">
        <f t="shared" ref="D60:H60" ca="1" si="61">IF(ABS(D14)&gt;D56*D62*D55,"Use Tafel", "Use Linear")</f>
        <v>Use Tafel</v>
      </c>
      <c r="E60" s="370" t="str">
        <f t="shared" ca="1" si="61"/>
        <v>Use Tafel</v>
      </c>
      <c r="F60" s="370" t="str">
        <f t="shared" ca="1" si="61"/>
        <v>Use Tafel</v>
      </c>
      <c r="G60" s="370" t="str">
        <f t="shared" ca="1" si="61"/>
        <v>Use Tafel</v>
      </c>
      <c r="H60" s="370" t="str">
        <f t="shared" ca="1" si="61"/>
        <v>Use Tafel</v>
      </c>
      <c r="I60" s="370" t="str">
        <f ca="1">IF(ABS(I14)&gt;I56*I62*I55*0.8,"Use Tafel", "Use Linear")</f>
        <v>Use Tafel</v>
      </c>
      <c r="J60" s="370" t="str">
        <f t="shared" ref="J60:L60" ca="1" si="62">IF(ABS(J14)&gt;J56*J62*J55,"Use Tafel", "Use Linear")</f>
        <v>Use Linear</v>
      </c>
      <c r="K60" s="370" t="str">
        <f t="shared" ca="1" si="62"/>
        <v>Use Linear</v>
      </c>
      <c r="L60" s="370" t="str">
        <f t="shared" ca="1" si="62"/>
        <v>Use Linear</v>
      </c>
      <c r="N60" t="s">
        <v>656</v>
      </c>
      <c r="P60" s="370" t="str">
        <f t="shared" ref="P60:Q60" ca="1" si="63">IF(ABS(P16)&gt;P56*P62*P55,"Use Tafel", "Use Linear")</f>
        <v>Use Tafel</v>
      </c>
      <c r="Q60" s="370" t="str">
        <f t="shared" ca="1" si="63"/>
        <v>Use Tafel</v>
      </c>
      <c r="R60" s="370" t="str">
        <f t="shared" ref="R60:V60" ca="1" si="64">IF(ABS(R16)&gt;R56*R62*R55,"Use Tafel", "Use Linear")</f>
        <v>Use Tafel</v>
      </c>
      <c r="S60" s="370" t="str">
        <f t="shared" ca="1" si="64"/>
        <v>Use Tafel</v>
      </c>
      <c r="T60" s="370" t="str">
        <f t="shared" ca="1" si="64"/>
        <v>Use Linear</v>
      </c>
      <c r="U60" s="370" t="str">
        <f t="shared" ca="1" si="64"/>
        <v>Use Linear</v>
      </c>
      <c r="V60" s="370" t="str">
        <f t="shared" ca="1" si="64"/>
        <v>Use Linear</v>
      </c>
      <c r="W60" s="370" t="str">
        <f t="shared" ref="W60:Y60" ca="1" si="65">IF(ABS(W16)&gt;W56*W62*W55,"Use Tafel", "Use Linear")</f>
        <v>Use Linear</v>
      </c>
      <c r="X60" s="370" t="str">
        <f t="shared" ca="1" si="65"/>
        <v>Use Linear</v>
      </c>
      <c r="Y60" s="370" t="str">
        <f t="shared" ca="1" si="65"/>
        <v>Use Linear</v>
      </c>
    </row>
    <row r="61" spans="1:25" ht="15" x14ac:dyDescent="0.25">
      <c r="A61" t="s">
        <v>657</v>
      </c>
      <c r="C61" s="388" t="s">
        <v>658</v>
      </c>
      <c r="D61" s="388" t="s">
        <v>658</v>
      </c>
      <c r="E61" s="388" t="s">
        <v>658</v>
      </c>
      <c r="F61" s="388" t="s">
        <v>658</v>
      </c>
      <c r="G61" s="388" t="s">
        <v>658</v>
      </c>
      <c r="H61" s="388" t="s">
        <v>658</v>
      </c>
      <c r="I61" s="388" t="s">
        <v>658</v>
      </c>
      <c r="J61" s="388" t="s">
        <v>658</v>
      </c>
      <c r="K61" s="388" t="s">
        <v>658</v>
      </c>
      <c r="L61" s="388" t="s">
        <v>658</v>
      </c>
      <c r="N61" t="s">
        <v>657</v>
      </c>
      <c r="P61" s="388" t="s">
        <v>658</v>
      </c>
      <c r="Q61" s="388" t="s">
        <v>658</v>
      </c>
      <c r="R61" s="388" t="s">
        <v>658</v>
      </c>
      <c r="S61" s="388" t="s">
        <v>658</v>
      </c>
      <c r="T61" s="388" t="s">
        <v>658</v>
      </c>
      <c r="U61" s="388" t="s">
        <v>658</v>
      </c>
      <c r="V61" s="388" t="s">
        <v>658</v>
      </c>
      <c r="W61" s="388" t="s">
        <v>658</v>
      </c>
      <c r="X61" s="388" t="s">
        <v>658</v>
      </c>
      <c r="Y61" s="388" t="s">
        <v>658</v>
      </c>
    </row>
    <row r="62" spans="1:25" ht="18.75" x14ac:dyDescent="0.35">
      <c r="A62" t="s">
        <v>659</v>
      </c>
      <c r="B62" t="s">
        <v>726</v>
      </c>
      <c r="C62" s="486">
        <f>'Iterative I-V'!C62</f>
        <v>1.0000000000000001E-5</v>
      </c>
      <c r="D62" s="486">
        <f>'Iterative I-V'!D62</f>
        <v>1.7E-5</v>
      </c>
      <c r="E62" s="486">
        <f>'Iterative I-V'!E62</f>
        <v>2.8899999999999998E-5</v>
      </c>
      <c r="F62" s="486">
        <f>'Iterative I-V'!F62</f>
        <v>4.9129999999999992E-5</v>
      </c>
      <c r="G62" s="486">
        <f>'Iterative I-V'!G62</f>
        <v>8.3520999999999989E-5</v>
      </c>
      <c r="H62" s="486">
        <f>'Iterative I-V'!H62</f>
        <v>1.4198569999999998E-4</v>
      </c>
      <c r="I62" s="486">
        <f>'Iterative I-V'!I62</f>
        <v>2.4137568999999998E-4</v>
      </c>
      <c r="J62" s="486">
        <f>'Iterative I-V'!J62</f>
        <v>4.1033867299999997E-4</v>
      </c>
      <c r="K62" s="486">
        <f>'Iterative I-V'!K62</f>
        <v>6.9757574409999991E-4</v>
      </c>
      <c r="L62" s="486">
        <f>'Iterative I-V'!L62</f>
        <v>1.1858787649699999E-3</v>
      </c>
      <c r="N62" t="s">
        <v>659</v>
      </c>
      <c r="O62" t="s">
        <v>726</v>
      </c>
      <c r="P62" s="372">
        <f t="shared" ref="P62:Y63" si="66">C62</f>
        <v>1.0000000000000001E-5</v>
      </c>
      <c r="Q62" s="372">
        <f t="shared" si="66"/>
        <v>1.7E-5</v>
      </c>
      <c r="R62" s="372">
        <f t="shared" si="66"/>
        <v>2.8899999999999998E-5</v>
      </c>
      <c r="S62" s="372">
        <f t="shared" si="66"/>
        <v>4.9129999999999992E-5</v>
      </c>
      <c r="T62" s="372">
        <f t="shared" si="66"/>
        <v>8.3520999999999989E-5</v>
      </c>
      <c r="U62" s="372">
        <f t="shared" si="66"/>
        <v>1.4198569999999998E-4</v>
      </c>
      <c r="V62" s="372">
        <f t="shared" si="66"/>
        <v>2.4137568999999998E-4</v>
      </c>
      <c r="W62" s="475">
        <f t="shared" si="66"/>
        <v>4.1033867299999997E-4</v>
      </c>
      <c r="X62" s="475">
        <f t="shared" si="66"/>
        <v>6.9757574409999991E-4</v>
      </c>
      <c r="Y62" s="475">
        <f t="shared" si="66"/>
        <v>1.1858787649699999E-3</v>
      </c>
    </row>
    <row r="63" spans="1:25" ht="15" x14ac:dyDescent="0.25">
      <c r="A63" t="s">
        <v>660</v>
      </c>
      <c r="C63" s="256">
        <v>0.5</v>
      </c>
      <c r="D63" s="256">
        <v>0.5</v>
      </c>
      <c r="E63" s="256">
        <v>0.5</v>
      </c>
      <c r="F63" s="256">
        <v>0.5</v>
      </c>
      <c r="G63" s="256">
        <v>0.5</v>
      </c>
      <c r="H63" s="256">
        <v>0.5</v>
      </c>
      <c r="I63" s="256">
        <v>0.5</v>
      </c>
      <c r="J63" s="256">
        <v>0.5</v>
      </c>
      <c r="K63" s="256">
        <v>0.5</v>
      </c>
      <c r="L63" s="256">
        <v>0.5</v>
      </c>
      <c r="N63" t="s">
        <v>660</v>
      </c>
      <c r="P63" s="256">
        <f t="shared" si="66"/>
        <v>0.5</v>
      </c>
      <c r="Q63" s="256">
        <f t="shared" si="66"/>
        <v>0.5</v>
      </c>
      <c r="R63" s="256">
        <f t="shared" si="66"/>
        <v>0.5</v>
      </c>
      <c r="S63" s="256">
        <f t="shared" si="66"/>
        <v>0.5</v>
      </c>
      <c r="T63" s="256">
        <f t="shared" si="66"/>
        <v>0.5</v>
      </c>
      <c r="U63" s="256">
        <f t="shared" si="66"/>
        <v>0.5</v>
      </c>
      <c r="V63" s="256">
        <f t="shared" si="66"/>
        <v>0.5</v>
      </c>
      <c r="W63" s="256">
        <f t="shared" si="66"/>
        <v>0.5</v>
      </c>
      <c r="X63" s="256">
        <f t="shared" si="66"/>
        <v>0.5</v>
      </c>
      <c r="Y63" s="256">
        <f t="shared" si="66"/>
        <v>0.5</v>
      </c>
    </row>
    <row r="64" spans="1:25" ht="15" x14ac:dyDescent="0.25">
      <c r="A64" t="s">
        <v>661</v>
      </c>
      <c r="B64" t="s">
        <v>662</v>
      </c>
      <c r="C64" s="6">
        <f t="shared" ref="C64" si="67">(1-C63)*96485.3/303/8.31443</f>
        <v>19.149438586489595</v>
      </c>
      <c r="D64" s="473">
        <f t="shared" ref="D64:H64" si="68">(1-D63)*96485.3/303/8.31443</f>
        <v>19.149438586489595</v>
      </c>
      <c r="E64" s="473">
        <f t="shared" si="68"/>
        <v>19.149438586489595</v>
      </c>
      <c r="F64" s="473">
        <f t="shared" si="68"/>
        <v>19.149438586489595</v>
      </c>
      <c r="G64" s="473">
        <f t="shared" si="68"/>
        <v>19.149438586489595</v>
      </c>
      <c r="H64" s="473">
        <f t="shared" si="68"/>
        <v>19.149438586489595</v>
      </c>
      <c r="I64" s="466">
        <f t="shared" ref="I64:L64" si="69">(1-I63)*96485.3/303/8.31443</f>
        <v>19.149438586489595</v>
      </c>
      <c r="J64" s="466">
        <f t="shared" si="69"/>
        <v>19.149438586489595</v>
      </c>
      <c r="K64" s="466">
        <f t="shared" si="69"/>
        <v>19.149438586489595</v>
      </c>
      <c r="L64" s="466">
        <f t="shared" si="69"/>
        <v>19.149438586489595</v>
      </c>
      <c r="N64" t="s">
        <v>661</v>
      </c>
      <c r="O64" t="s">
        <v>662</v>
      </c>
      <c r="P64" s="6">
        <f t="shared" ref="P64:Y64" si="70">C64</f>
        <v>19.149438586489595</v>
      </c>
      <c r="Q64" s="466">
        <f t="shared" si="70"/>
        <v>19.149438586489595</v>
      </c>
      <c r="R64" s="466">
        <f t="shared" si="70"/>
        <v>19.149438586489595</v>
      </c>
      <c r="S64" s="466">
        <f t="shared" si="70"/>
        <v>19.149438586489595</v>
      </c>
      <c r="T64" s="466">
        <f t="shared" si="70"/>
        <v>19.149438586489595</v>
      </c>
      <c r="U64" s="466">
        <f t="shared" si="70"/>
        <v>19.149438586489595</v>
      </c>
      <c r="V64" s="466">
        <f t="shared" si="70"/>
        <v>19.149438586489595</v>
      </c>
      <c r="W64" s="473">
        <f t="shared" si="70"/>
        <v>19.149438586489595</v>
      </c>
      <c r="X64" s="473">
        <f t="shared" si="70"/>
        <v>19.149438586489595</v>
      </c>
      <c r="Y64" s="473">
        <f t="shared" si="70"/>
        <v>19.149438586489595</v>
      </c>
    </row>
    <row r="65" spans="1:25" ht="15" x14ac:dyDescent="0.25">
      <c r="A65" t="s">
        <v>663</v>
      </c>
      <c r="B65" t="s">
        <v>664</v>
      </c>
      <c r="C65" s="6">
        <f t="shared" ref="C65" ca="1" si="71">C55*ABS(C$14)*C64*(1/C58+1/C59)</f>
        <v>0.11285236346620768</v>
      </c>
      <c r="D65" s="473">
        <f t="shared" ref="D65:H65" ca="1" si="72">D55*ABS(D$14)*D64*(1/D58+1/D59)</f>
        <v>0.33987971431506581</v>
      </c>
      <c r="E65" s="473">
        <f t="shared" ca="1" si="72"/>
        <v>0.93420292211319123</v>
      </c>
      <c r="F65" s="473">
        <f t="shared" ca="1" si="72"/>
        <v>2.273248895724489</v>
      </c>
      <c r="G65" s="473">
        <f t="shared" ca="1" si="72"/>
        <v>4.8900478017580618</v>
      </c>
      <c r="H65" s="473">
        <f t="shared" ca="1" si="72"/>
        <v>7.5189778810112857</v>
      </c>
      <c r="I65" s="466">
        <f t="shared" ref="I65:L65" ca="1" si="73">I55*ABS(I$14)*I64*(1/I58+1/I59)</f>
        <v>7.3689068443757968</v>
      </c>
      <c r="J65" s="466">
        <f t="shared" ca="1" si="73"/>
        <v>7.4210693305434932</v>
      </c>
      <c r="K65" s="466">
        <f t="shared" ca="1" si="73"/>
        <v>7.3269611388058005</v>
      </c>
      <c r="L65" s="466">
        <f t="shared" ca="1" si="73"/>
        <v>7.2444291489829586</v>
      </c>
      <c r="N65" t="s">
        <v>663</v>
      </c>
      <c r="O65" t="s">
        <v>664</v>
      </c>
      <c r="P65" s="6">
        <f t="shared" ref="P65:Q65" ca="1" si="74">P55*ABS(P$16)*P64*(1/P58+1/P59)</f>
        <v>2.9689365763295204E-2</v>
      </c>
      <c r="Q65" s="466">
        <f t="shared" ca="1" si="74"/>
        <v>8.9168037648135134E-2</v>
      </c>
      <c r="R65" s="466">
        <f t="shared" ref="R65:V65" ca="1" si="75">R55*ABS(R$16)*R64*(1/R58+1/R59)</f>
        <v>0.24411085234062854</v>
      </c>
      <c r="S65" s="466">
        <f t="shared" ca="1" si="75"/>
        <v>0.59078130117353278</v>
      </c>
      <c r="T65" s="466">
        <f t="shared" ca="1" si="75"/>
        <v>1.2789783403481318</v>
      </c>
      <c r="U65" s="466">
        <f t="shared" ca="1" si="75"/>
        <v>1.9847861884668314</v>
      </c>
      <c r="V65" s="466">
        <f t="shared" ca="1" si="75"/>
        <v>1.9847861884668314</v>
      </c>
      <c r="W65" s="473">
        <f t="shared" ref="W65:Y65" ca="1" si="76">W55*ABS(W$16)*W64*(1/W58+1/W59)</f>
        <v>1.9847861884668325</v>
      </c>
      <c r="X65" s="473">
        <f t="shared" ca="1" si="76"/>
        <v>1.9847861884668325</v>
      </c>
      <c r="Y65" s="473">
        <f t="shared" ca="1" si="76"/>
        <v>1.9847861884668325</v>
      </c>
    </row>
    <row r="66" spans="1:25" ht="15" x14ac:dyDescent="0.25">
      <c r="A66" t="s">
        <v>665</v>
      </c>
      <c r="B66" t="s">
        <v>664</v>
      </c>
      <c r="C66" s="6">
        <f t="shared" ref="C66" ca="1" si="77">C55*ABS(C14)*C64/C58</f>
        <v>0.11280777227893629</v>
      </c>
      <c r="D66" s="473">
        <f t="shared" ref="D66:H66" ca="1" si="78">D55*ABS(D14)*D64/D58</f>
        <v>0.33974541814682202</v>
      </c>
      <c r="E66" s="473">
        <f t="shared" ca="1" si="78"/>
        <v>0.93383379189588833</v>
      </c>
      <c r="F66" s="473">
        <f t="shared" ca="1" si="78"/>
        <v>2.2723506702544118</v>
      </c>
      <c r="G66" s="473">
        <f t="shared" ca="1" si="78"/>
        <v>4.888115604411043</v>
      </c>
      <c r="H66" s="473">
        <f t="shared" ca="1" si="78"/>
        <v>7.5160069184148135</v>
      </c>
      <c r="I66" s="466">
        <f t="shared" ref="I66:L66" ca="1" si="79">I55*ABS(I14)*I64/I58</f>
        <v>7.3659951791258145</v>
      </c>
      <c r="J66" s="466">
        <f t="shared" ca="1" si="79"/>
        <v>7.4181370544075902</v>
      </c>
      <c r="K66" s="466">
        <f t="shared" ca="1" si="79"/>
        <v>7.3240660475003496</v>
      </c>
      <c r="L66" s="466">
        <f t="shared" ca="1" si="79"/>
        <v>7.2415666684204378</v>
      </c>
      <c r="N66" t="s">
        <v>665</v>
      </c>
      <c r="O66" t="s">
        <v>664</v>
      </c>
      <c r="P66" s="6">
        <f t="shared" ref="P66:Q66" ca="1" si="80">P55*ABS(P16)*P64/P58</f>
        <v>2.9677634648163385E-2</v>
      </c>
      <c r="Q66" s="466">
        <f t="shared" ca="1" si="80"/>
        <v>8.9132804813453925E-2</v>
      </c>
      <c r="R66" s="466">
        <f t="shared" ref="R66:V66" ca="1" si="81">R55*ABS(R16)*R64/R58</f>
        <v>0.2440143971810079</v>
      </c>
      <c r="S66" s="466">
        <f t="shared" ca="1" si="81"/>
        <v>0.59054786663279368</v>
      </c>
      <c r="T66" s="466">
        <f t="shared" ca="1" si="81"/>
        <v>1.2784729795303444</v>
      </c>
      <c r="U66" s="466">
        <f t="shared" ca="1" si="81"/>
        <v>1.9840019428391351</v>
      </c>
      <c r="V66" s="466">
        <f t="shared" ca="1" si="81"/>
        <v>1.9840019428391351</v>
      </c>
      <c r="W66" s="473">
        <f t="shared" ref="W66:Y66" ca="1" si="82">W55*ABS(W16)*W64/W58</f>
        <v>1.984001942839136</v>
      </c>
      <c r="X66" s="473">
        <f t="shared" ca="1" si="82"/>
        <v>1.984001942839136</v>
      </c>
      <c r="Y66" s="473">
        <f t="shared" ca="1" si="82"/>
        <v>1.984001942839136</v>
      </c>
    </row>
    <row r="67" spans="1:25" ht="15" x14ac:dyDescent="0.25">
      <c r="A67" t="s">
        <v>758</v>
      </c>
      <c r="B67" t="s">
        <v>759</v>
      </c>
      <c r="C67" s="423">
        <f t="shared" ref="C67:L67" ca="1" si="83">IF(C65&gt;19.2,IF(C20=1,ATAN((C69-C68)*0.1+C68)+PI(),1.58),IF(C20=1,ATAN((C69-C68)*0.1+C68),1.565))</f>
        <v>0.2353336136345707</v>
      </c>
      <c r="D67" s="423">
        <f t="shared" ca="1" si="83"/>
        <v>0.4009319431970218</v>
      </c>
      <c r="E67" s="423">
        <f t="shared" ca="1" si="83"/>
        <v>0.63461116116565985</v>
      </c>
      <c r="F67" s="423">
        <f t="shared" ca="1" si="83"/>
        <v>0.90088950369609311</v>
      </c>
      <c r="G67" s="423">
        <f t="shared" ca="1" si="83"/>
        <v>1.1364134799854737</v>
      </c>
      <c r="H67" s="423">
        <f t="shared" ca="1" si="83"/>
        <v>1.2507038898296152</v>
      </c>
      <c r="I67" s="423">
        <f t="shared" ca="1" si="83"/>
        <v>1.2457916028111813</v>
      </c>
      <c r="J67" s="423">
        <f t="shared" ca="1" si="83"/>
        <v>1.2475156306529736</v>
      </c>
      <c r="K67" s="423">
        <f t="shared" ca="1" si="83"/>
        <v>1.2443921836968717</v>
      </c>
      <c r="L67" s="423">
        <f t="shared" ca="1" si="83"/>
        <v>1.2416040852609056</v>
      </c>
      <c r="M67" s="172">
        <f>PI()/2</f>
        <v>1.5707963267948966</v>
      </c>
      <c r="N67" t="s">
        <v>758</v>
      </c>
      <c r="O67" t="s">
        <v>759</v>
      </c>
      <c r="P67" s="423">
        <f t="shared" ref="P67:Y67" ca="1" si="84">IF(P65&gt;19.2,IF(P20=1,ATAN((P69-P68)*0.1+P68)+PI(),1.8),IF(P20=1,ATAN((P69-P68)*0.1+P68),1.565))</f>
        <v>0.12153849010164793</v>
      </c>
      <c r="Q67" s="423">
        <f t="shared" ca="1" si="84"/>
        <v>0.20959490657989208</v>
      </c>
      <c r="R67" s="423">
        <f t="shared" ca="1" si="84"/>
        <v>0.34242245580869074</v>
      </c>
      <c r="S67" s="423">
        <f t="shared" ca="1" si="84"/>
        <v>0.51817159439063354</v>
      </c>
      <c r="T67" s="423">
        <f t="shared" ca="1" si="84"/>
        <v>0.72379178420368362</v>
      </c>
      <c r="U67" s="423">
        <f t="shared" ca="1" si="84"/>
        <v>0.85810260509225134</v>
      </c>
      <c r="V67" s="423">
        <f t="shared" ca="1" si="84"/>
        <v>0.8581026050925693</v>
      </c>
      <c r="W67" s="423">
        <f t="shared" ca="1" si="84"/>
        <v>0.85810260509279335</v>
      </c>
      <c r="X67" s="423">
        <f t="shared" ca="1" si="84"/>
        <v>0.85810260509308012</v>
      </c>
      <c r="Y67" s="423">
        <f t="shared" ca="1" si="84"/>
        <v>0.85810260509339542</v>
      </c>
    </row>
    <row r="68" spans="1:25" ht="15" x14ac:dyDescent="0.25">
      <c r="A68" t="s">
        <v>760</v>
      </c>
      <c r="B68" t="s">
        <v>664</v>
      </c>
      <c r="C68" s="66">
        <f t="shared" ref="C68" ca="1" si="85">TAN(C67)</f>
        <v>0.23977646950548551</v>
      </c>
      <c r="D68" s="472">
        <f t="shared" ref="D68:H68" ca="1" si="86">TAN(D67)</f>
        <v>0.42389218393965067</v>
      </c>
      <c r="E68" s="472">
        <f t="shared" ca="1" si="86"/>
        <v>0.73620109695945468</v>
      </c>
      <c r="F68" s="472">
        <f t="shared" ca="1" si="86"/>
        <v>1.2624628358790333</v>
      </c>
      <c r="G68" s="472">
        <f t="shared" ca="1" si="86"/>
        <v>2.1554676428787691</v>
      </c>
      <c r="H68" s="472">
        <f t="shared" ca="1" si="86"/>
        <v>3.0166640826029529</v>
      </c>
      <c r="I68" s="470">
        <f t="shared" ref="I68:L68" ca="1" si="87">TAN(I67)</f>
        <v>2.9677728086095865</v>
      </c>
      <c r="J68" s="470">
        <f t="shared" ca="1" si="87"/>
        <v>2.9847684897687849</v>
      </c>
      <c r="K68" s="470">
        <f t="shared" ca="1" si="87"/>
        <v>2.9541045177757921</v>
      </c>
      <c r="L68" s="470">
        <f t="shared" ca="1" si="87"/>
        <v>2.9272068954222745</v>
      </c>
      <c r="M68" s="428"/>
      <c r="N68" t="s">
        <v>760</v>
      </c>
      <c r="O68" t="s">
        <v>664</v>
      </c>
      <c r="P68" s="66">
        <f t="shared" ref="P68:Q68" ca="1" si="88">TAN(P67)</f>
        <v>0.12214048684065068</v>
      </c>
      <c r="Q68" s="470">
        <f t="shared" ca="1" si="88"/>
        <v>0.21271898422883095</v>
      </c>
      <c r="R68" s="470">
        <f t="shared" ref="R68:V68" ca="1" si="89">TAN(R67)</f>
        <v>0.3564647981309314</v>
      </c>
      <c r="S68" s="470">
        <f t="shared" ca="1" si="89"/>
        <v>0.57013656007889879</v>
      </c>
      <c r="T68" s="470">
        <f t="shared" ca="1" si="89"/>
        <v>0.8837989241811679</v>
      </c>
      <c r="U68" s="470">
        <f t="shared" ca="1" si="89"/>
        <v>1.1571082715744871</v>
      </c>
      <c r="V68" s="470">
        <f t="shared" ca="1" si="89"/>
        <v>1.1571082715752308</v>
      </c>
      <c r="W68" s="472">
        <f t="shared" ref="W68:Y68" ca="1" si="90">TAN(W67)</f>
        <v>1.1571082715757548</v>
      </c>
      <c r="X68" s="472">
        <f t="shared" ca="1" si="90"/>
        <v>1.1571082715764256</v>
      </c>
      <c r="Y68" s="472">
        <f t="shared" ca="1" si="90"/>
        <v>1.157108271577163</v>
      </c>
    </row>
    <row r="69" spans="1:25" ht="15" x14ac:dyDescent="0.25">
      <c r="A69" t="s">
        <v>761</v>
      </c>
      <c r="B69" t="s">
        <v>664</v>
      </c>
      <c r="C69" s="66">
        <f t="shared" ref="C69" ca="1" si="91">2*C65*C67/(4*C67^2-C66*(C65-C66))</f>
        <v>0.23977646950278081</v>
      </c>
      <c r="D69" s="472">
        <f t="shared" ref="D69:H69" ca="1" si="92">2*D65*D67/(4*D67^2-D66*(D65-D66))</f>
        <v>0.42389218393183975</v>
      </c>
      <c r="E69" s="472">
        <f t="shared" ca="1" si="92"/>
        <v>0.73620109690247737</v>
      </c>
      <c r="F69" s="472">
        <f t="shared" ca="1" si="92"/>
        <v>1.2624628347332301</v>
      </c>
      <c r="G69" s="472">
        <f t="shared" ca="1" si="92"/>
        <v>2.155467618786759</v>
      </c>
      <c r="H69" s="472">
        <f t="shared" ca="1" si="92"/>
        <v>3.0166641967480996</v>
      </c>
      <c r="I69" s="470">
        <f t="shared" ref="I69:L69" ca="1" si="93">2*I65*I67/(4*I67^2-I66*(I65-I66))</f>
        <v>2.9677729147430911</v>
      </c>
      <c r="J69" s="470">
        <f t="shared" ca="1" si="93"/>
        <v>2.9847685958262371</v>
      </c>
      <c r="K69" s="470">
        <f t="shared" ca="1" si="93"/>
        <v>2.9541046186587234</v>
      </c>
      <c r="L69" s="470">
        <f t="shared" ca="1" si="93"/>
        <v>2.9272069923109196</v>
      </c>
      <c r="N69" t="s">
        <v>761</v>
      </c>
      <c r="O69" t="s">
        <v>664</v>
      </c>
      <c r="P69" s="66">
        <f t="shared" ref="P69:Q69" ca="1" si="94">2*P65*P67/(4*P67^2-P66*(P65-P66))</f>
        <v>0.12214048683902759</v>
      </c>
      <c r="Q69" s="470">
        <f t="shared" ca="1" si="94"/>
        <v>0.21271898422580887</v>
      </c>
      <c r="R69" s="470">
        <f t="shared" ref="R69:V69" ca="1" si="95">2*R65*R67/(4*R67^2-R66*(R65-R66))</f>
        <v>0.35646479812330978</v>
      </c>
      <c r="S69" s="470">
        <f t="shared" ca="1" si="95"/>
        <v>0.57013656005021229</v>
      </c>
      <c r="T69" s="470">
        <f t="shared" ca="1" si="95"/>
        <v>0.88379892411450722</v>
      </c>
      <c r="U69" s="470">
        <f t="shared" ca="1" si="95"/>
        <v>1.1571082720350885</v>
      </c>
      <c r="V69" s="470">
        <f t="shared" ca="1" si="95"/>
        <v>1.1571082720346593</v>
      </c>
      <c r="W69" s="472">
        <f t="shared" ref="W69:Y69" ca="1" si="96">2*W65*W67/(4*W67^2-W66*(W65-W66))</f>
        <v>1.1571082720343575</v>
      </c>
      <c r="X69" s="472">
        <f t="shared" ca="1" si="96"/>
        <v>1.1571082720339707</v>
      </c>
      <c r="Y69" s="472">
        <f t="shared" ca="1" si="96"/>
        <v>1.157108272033545</v>
      </c>
    </row>
    <row r="70" spans="1:25" ht="15" x14ac:dyDescent="0.25">
      <c r="A70" t="s">
        <v>762</v>
      </c>
      <c r="B70" t="s">
        <v>664</v>
      </c>
      <c r="C70" s="20">
        <f t="shared" ref="C70" ca="1" si="97">ATAN(C66/(2*C67))</f>
        <v>0.23523887326226881</v>
      </c>
      <c r="D70" s="464">
        <f t="shared" ref="D70:H70" ca="1" si="98">ATAN(D66/(2*D67))</f>
        <v>0.40076446318629155</v>
      </c>
      <c r="E70" s="464">
        <f t="shared" ca="1" si="98"/>
        <v>0.63432032933320692</v>
      </c>
      <c r="F70" s="464">
        <f t="shared" ca="1" si="98"/>
        <v>0.90039098185301003</v>
      </c>
      <c r="G70" s="464">
        <f t="shared" ca="1" si="98"/>
        <v>1.1355633463792358</v>
      </c>
      <c r="H70" s="464">
        <f t="shared" ca="1" si="98"/>
        <v>1.2495161854678185</v>
      </c>
      <c r="I70" s="464">
        <f t="shared" ref="I70:L70" ca="1" si="99">ATAN(I66/(2*I67))</f>
        <v>1.2446230137167473</v>
      </c>
      <c r="J70" s="464">
        <f t="shared" ca="1" si="99"/>
        <v>1.246340395646401</v>
      </c>
      <c r="K70" s="464">
        <f t="shared" ca="1" si="99"/>
        <v>1.2432289394140119</v>
      </c>
      <c r="L70" s="464">
        <f t="shared" ca="1" si="99"/>
        <v>1.2404513610615122</v>
      </c>
      <c r="N70" t="s">
        <v>762</v>
      </c>
      <c r="O70" t="s">
        <v>664</v>
      </c>
      <c r="P70" s="20">
        <f t="shared" ref="P70:Q70" ca="1" si="100">ATAN(P66/(2*P67))</f>
        <v>0.1214902291947466</v>
      </c>
      <c r="Q70" s="464">
        <f t="shared" ca="1" si="100"/>
        <v>0.20951085674207603</v>
      </c>
      <c r="R70" s="464">
        <f t="shared" ref="R70:V70" ca="1" si="101">ATAN(R66/(2*R67))</f>
        <v>0.34228161346325187</v>
      </c>
      <c r="S70" s="464">
        <f t="shared" ca="1" si="101"/>
        <v>0.51794634607351786</v>
      </c>
      <c r="T70" s="464">
        <f t="shared" ca="1" si="101"/>
        <v>0.72344267769096526</v>
      </c>
      <c r="U70" s="464">
        <f t="shared" ca="1" si="101"/>
        <v>0.85764564037120239</v>
      </c>
      <c r="V70" s="464">
        <f t="shared" ca="1" si="101"/>
        <v>0.85764564037101909</v>
      </c>
      <c r="W70" s="464">
        <f t="shared" ref="W70:Y70" ca="1" si="102">ATAN(W66/(2*W67))</f>
        <v>0.85764564037089008</v>
      </c>
      <c r="X70" s="464">
        <f t="shared" ca="1" si="102"/>
        <v>0.85764564037072477</v>
      </c>
      <c r="Y70" s="464">
        <f t="shared" ca="1" si="102"/>
        <v>0.85764564037054292</v>
      </c>
    </row>
    <row r="71" spans="1:25" ht="18" x14ac:dyDescent="0.35">
      <c r="A71" t="s">
        <v>864</v>
      </c>
      <c r="B71" t="s">
        <v>720</v>
      </c>
      <c r="C71" s="20">
        <f t="shared" ref="C71" ca="1" si="103">((C65-C66)*(C66/C65+2/C65*LN(1/COS(C67-C70)))+2*C66/C65*LN(1/COS(C70))+LN(2*ABS(C14)*C67^2/(C56*C62*C55*C65)))/C64</f>
        <v>0.16922158044611782</v>
      </c>
      <c r="D71" s="464">
        <f t="shared" ref="D71:H71" ca="1" si="104">((D65-D66)*(D66/D65+2/D65*LN(1/COS(D67-D70)))+2*D66/D65*LN(1/COS(D70))+LN(2*ABS(D14)*D67^2/(D56*D62*D55*D65)))/D64</f>
        <v>0.14543547445528915</v>
      </c>
      <c r="E71" s="464">
        <f t="shared" ca="1" si="104"/>
        <v>0.12707380940782709</v>
      </c>
      <c r="F71" s="464">
        <f t="shared" ca="1" si="104"/>
        <v>0.1169343973244657</v>
      </c>
      <c r="G71" s="464">
        <f t="shared" ca="1" si="104"/>
        <v>0.11367847029881466</v>
      </c>
      <c r="H71" s="464">
        <f t="shared" ca="1" si="104"/>
        <v>0.10326075721434413</v>
      </c>
      <c r="I71" s="464">
        <f t="shared" ref="I71:L71" ca="1" si="105">((I65-I66)*(I66/I65+2/I65*LN(1/COS(I67-I70)))+2*I66/I65*LN(1/COS(I70))+LN(2*ABS(I14)*I67^2/(I56*I62*I55*I65)))/I64</f>
        <v>7.3614245633818048E-2</v>
      </c>
      <c r="J71" s="464">
        <f t="shared" ca="1" si="105"/>
        <v>4.6581462042840978E-2</v>
      </c>
      <c r="K71" s="464">
        <f t="shared" ca="1" si="105"/>
        <v>1.7646986765578129E-2</v>
      </c>
      <c r="L71" s="464">
        <f t="shared" ca="1" si="105"/>
        <v>-1.1148335576901492E-2</v>
      </c>
      <c r="N71" t="s">
        <v>864</v>
      </c>
      <c r="O71" t="s">
        <v>720</v>
      </c>
      <c r="P71" s="464">
        <f t="shared" ref="P71:S71" ca="1" si="106">((P65-P66)*(P66/P65+2/P65*LN(1/COS(P67-P70)))+2*P66/P65*LN(1/COS(P70))+LN(2*ABS(P16)*P67^2/(P56*P62*P55*P65)))/P64</f>
        <v>9.8064302424333727E-2</v>
      </c>
      <c r="Q71" s="464">
        <f t="shared" ca="1" si="106"/>
        <v>7.1377597903484816E-2</v>
      </c>
      <c r="R71" s="464">
        <f t="shared" ca="1" si="106"/>
        <v>4.6277084311263934E-2</v>
      </c>
      <c r="S71" s="464">
        <f t="shared" ca="1" si="106"/>
        <v>2.4126203162863184E-2</v>
      </c>
      <c r="T71" s="464">
        <f t="shared" ref="T71:V71" ca="1" si="107">((T65-T66)*(T66/T65+2/T65*LN(1/COS(T67-T70)))+2*T66/T65*LN(1/COS(T70))+LN(2*ABS(T16)*T67^2/(T56*T62*T55*T65)))/T64</f>
        <v>6.4216301388622075E-3</v>
      </c>
      <c r="U71" s="464">
        <f t="shared" ca="1" si="107"/>
        <v>-1.2245120785658366E-2</v>
      </c>
      <c r="V71" s="464">
        <f t="shared" ca="1" si="107"/>
        <v>-3.9954980198258813E-2</v>
      </c>
      <c r="W71" s="464">
        <f t="shared" ref="W71:Y71" ca="1" si="108">((W65-W66)*(W66/W65+2/W65*LN(1/COS(W67-W70)))+2*W66/W65*LN(1/COS(W70))+LN(2*ABS(W16)*W67^2/(W56*W62*W55*W65)))/W64</f>
        <v>-6.7664839610864128E-2</v>
      </c>
      <c r="X71" s="464">
        <f t="shared" ca="1" si="108"/>
        <v>-9.5374699023466222E-2</v>
      </c>
      <c r="Y71" s="464">
        <f t="shared" ca="1" si="108"/>
        <v>-0.12308455843606679</v>
      </c>
    </row>
    <row r="72" spans="1:25" ht="15" x14ac:dyDescent="0.25">
      <c r="A72" s="365" t="s">
        <v>865</v>
      </c>
      <c r="C72" s="388" t="s">
        <v>770</v>
      </c>
      <c r="D72" s="388" t="s">
        <v>770</v>
      </c>
      <c r="E72" s="388" t="s">
        <v>770</v>
      </c>
      <c r="F72" s="388" t="s">
        <v>770</v>
      </c>
      <c r="G72" s="388" t="s">
        <v>770</v>
      </c>
      <c r="H72" s="388" t="s">
        <v>770</v>
      </c>
      <c r="I72" s="388" t="s">
        <v>770</v>
      </c>
      <c r="J72" s="388" t="s">
        <v>770</v>
      </c>
      <c r="K72" s="388" t="s">
        <v>770</v>
      </c>
      <c r="L72" s="388" t="s">
        <v>770</v>
      </c>
      <c r="N72" s="365" t="s">
        <v>865</v>
      </c>
      <c r="P72" s="388" t="s">
        <v>770</v>
      </c>
      <c r="Q72" s="388" t="s">
        <v>770</v>
      </c>
      <c r="R72" s="388" t="s">
        <v>770</v>
      </c>
      <c r="S72" s="388" t="s">
        <v>770</v>
      </c>
      <c r="T72" s="388" t="s">
        <v>770</v>
      </c>
      <c r="U72" s="388" t="s">
        <v>770</v>
      </c>
      <c r="V72" s="388" t="s">
        <v>770</v>
      </c>
      <c r="W72" s="388" t="s">
        <v>770</v>
      </c>
      <c r="X72" s="388" t="s">
        <v>770</v>
      </c>
      <c r="Y72" s="388" t="s">
        <v>770</v>
      </c>
    </row>
    <row r="73" spans="1:25" ht="15" x14ac:dyDescent="0.25">
      <c r="A73" t="s">
        <v>771</v>
      </c>
      <c r="B73" t="s">
        <v>664</v>
      </c>
      <c r="C73" s="66">
        <f t="shared" ref="C73" ca="1" si="109">SQRT((2*C63)*96495.3/8.31443/303*C56*C62*C55^2*(1/C58+1/C59))</f>
        <v>9.5764584844206246E-2</v>
      </c>
      <c r="D73" s="472">
        <f t="shared" ref="D73:H73" ca="1" si="110">SQRT((2*D63)*96495.3/8.31443/303*D56*D62*D55^2*(1/D58+1/D59))</f>
        <v>0.21638818063799939</v>
      </c>
      <c r="E73" s="472">
        <f t="shared" ca="1" si="110"/>
        <v>0.46681729220366314</v>
      </c>
      <c r="F73" s="472">
        <f t="shared" ca="1" si="110"/>
        <v>0.94687188788492072</v>
      </c>
      <c r="G73" s="472">
        <f t="shared" ca="1" si="110"/>
        <v>1.8164937495591913</v>
      </c>
      <c r="H73" s="472">
        <f t="shared" ca="1" si="110"/>
        <v>2.9504186066033187</v>
      </c>
      <c r="I73" s="470">
        <f t="shared" ref="I73:L73" ca="1" si="111">SQRT((2*I63)*96495.3/8.31443/303*I56*I62*I55^2*(1/I58+1/I59))</f>
        <v>3.8468752153046006</v>
      </c>
      <c r="J73" s="470">
        <f t="shared" ca="1" si="111"/>
        <v>5.015711631225642</v>
      </c>
      <c r="K73" s="470">
        <f t="shared" ca="1" si="111"/>
        <v>6.5396878660178208</v>
      </c>
      <c r="L73" s="470">
        <f t="shared" ca="1" si="111"/>
        <v>8.5267097730835903</v>
      </c>
      <c r="N73" t="s">
        <v>771</v>
      </c>
      <c r="O73" t="s">
        <v>664</v>
      </c>
      <c r="P73" s="66">
        <f t="shared" ref="P73:Q73" ca="1" si="112">SQRT((2*P63)*96495.3/8.31443/303*P56*P62*P55^2*(1/P58+1/P59))</f>
        <v>9.5764584844206246E-2</v>
      </c>
      <c r="Q73" s="470">
        <f t="shared" ca="1" si="112"/>
        <v>0.21638818063799939</v>
      </c>
      <c r="R73" s="470">
        <f t="shared" ref="R73:V73" ca="1" si="113">SQRT((2*R63)*96495.3/8.31443/303*R56*R62*R55^2*(1/R58+1/R59))</f>
        <v>0.46681729220366314</v>
      </c>
      <c r="S73" s="470">
        <f t="shared" ca="1" si="113"/>
        <v>0.94687188788492072</v>
      </c>
      <c r="T73" s="470">
        <f t="shared" ca="1" si="113"/>
        <v>1.8164937495591913</v>
      </c>
      <c r="U73" s="470">
        <f t="shared" ca="1" si="113"/>
        <v>2.9504186066033187</v>
      </c>
      <c r="V73" s="470">
        <f t="shared" ca="1" si="113"/>
        <v>3.8468752153046006</v>
      </c>
      <c r="W73" s="472">
        <f t="shared" ref="W73:Y73" ca="1" si="114">SQRT((2*W63)*96495.3/8.31443/303*W56*W62*W55^2*(1/W58+1/W59))</f>
        <v>5.015711631225642</v>
      </c>
      <c r="X73" s="472">
        <f t="shared" ca="1" si="114"/>
        <v>6.5396878660178208</v>
      </c>
      <c r="Y73" s="472">
        <f t="shared" ca="1" si="114"/>
        <v>8.5267097730835903</v>
      </c>
    </row>
    <row r="74" spans="1:25" ht="18" x14ac:dyDescent="0.35">
      <c r="A74" t="s">
        <v>864</v>
      </c>
      <c r="B74" t="s">
        <v>720</v>
      </c>
      <c r="C74" s="66">
        <f t="shared" ref="C74" ca="1" si="115">C14*C55/(C58+C59)*(1+(2+(C59/C58+C58/C59)*COSH(C73))/(C73*SINH(C73)))</f>
        <v>0.64456918197217894</v>
      </c>
      <c r="D74" s="472">
        <f t="shared" ref="D74:H74" ca="1" si="116">D14*D55/(D58+D59)*(1+(2+(D59/D58+D58/D59)*COSH(D73))/(D73*SINH(D73)))</f>
        <v>0.38495282138152886</v>
      </c>
      <c r="E74" s="472">
        <f t="shared" ca="1" si="116"/>
        <v>0.23989814988082281</v>
      </c>
      <c r="F74" s="472">
        <f t="shared" ca="1" si="116"/>
        <v>0.16979998970772966</v>
      </c>
      <c r="G74" s="472">
        <f t="shared" ca="1" si="116"/>
        <v>0.14823563551810895</v>
      </c>
      <c r="H74" s="472">
        <f t="shared" ca="1" si="116"/>
        <v>0.13387288126745936</v>
      </c>
      <c r="I74" s="470">
        <f t="shared" ref="I74:L74" ca="1" si="117">I14*I55/(I58+I59)*(1+(2+(I59/I58+I58/I59)*COSH(I73))/(I73*SINH(I73)))</f>
        <v>0.10019946972319212</v>
      </c>
      <c r="J74" s="470">
        <f t="shared" ca="1" si="117"/>
        <v>7.7363757930609109E-2</v>
      </c>
      <c r="K74" s="470">
        <f t="shared" ca="1" si="117"/>
        <v>5.8612687523711904E-2</v>
      </c>
      <c r="L74" s="470">
        <f t="shared" ca="1" si="117"/>
        <v>4.448206353538546E-2</v>
      </c>
      <c r="N74" t="s">
        <v>864</v>
      </c>
      <c r="O74" t="s">
        <v>720</v>
      </c>
      <c r="P74" s="66">
        <f t="shared" ref="P74:Q74" ca="1" si="118">P16*P55/(P58+P59)*(1+(2+(P59/P58+P58/P59)*COSH(P73))/(P73*SINH(P73)))</f>
        <v>0.16957420842187598</v>
      </c>
      <c r="Q74" s="470">
        <f t="shared" ca="1" si="118"/>
        <v>0.10099304613950731</v>
      </c>
      <c r="R74" s="470">
        <f t="shared" ref="R74:V74" ca="1" si="119">R16*R55/(R58+R59)*(1+(2+(R59/R58+R58/R59)*COSH(R73))/(R73*SINH(R73)))</f>
        <v>6.2686318417715214E-2</v>
      </c>
      <c r="S74" s="470">
        <f t="shared" ca="1" si="119"/>
        <v>4.4128321824968723E-2</v>
      </c>
      <c r="T74" s="470">
        <f t="shared" ca="1" si="119"/>
        <v>3.8770616317337511E-2</v>
      </c>
      <c r="U74" s="470">
        <f t="shared" ca="1" si="119"/>
        <v>3.5338452906071863E-2</v>
      </c>
      <c r="V74" s="470">
        <f t="shared" ca="1" si="119"/>
        <v>2.6988334606248963E-2</v>
      </c>
      <c r="W74" s="472">
        <f t="shared" ref="W74:Y74" ca="1" si="120">W16*W55/(W58+W59)*(1+(2+(W59/W58+W58/W59)*COSH(W73))/(W73*SINH(W73)))</f>
        <v>2.0691158024435118E-2</v>
      </c>
      <c r="X74" s="472">
        <f t="shared" ca="1" si="120"/>
        <v>1.5877476413768247E-2</v>
      </c>
      <c r="Y74" s="472">
        <f t="shared" ca="1" si="120"/>
        <v>1.2186934749983966E-2</v>
      </c>
    </row>
    <row r="75" spans="1:25" ht="17.25" x14ac:dyDescent="0.25">
      <c r="A75" t="s">
        <v>772</v>
      </c>
      <c r="B75" t="s">
        <v>736</v>
      </c>
      <c r="C75" s="4">
        <f t="shared" ref="C75" ca="1" si="121">IF(C60="Use Tafel",C71/C14,C74/C14)</f>
        <v>56.212946234620581</v>
      </c>
      <c r="D75" s="471">
        <f t="shared" ref="D75:H75" ca="1" si="122">IF(D60="Use Tafel",D71/D14,D74/D14)</f>
        <v>27.799725796235581</v>
      </c>
      <c r="E75" s="471">
        <f t="shared" ca="1" si="122"/>
        <v>14.621743857993428</v>
      </c>
      <c r="F75" s="471">
        <f t="shared" ca="1" si="122"/>
        <v>8.6020005018908812</v>
      </c>
      <c r="G75" s="471">
        <f t="shared" ca="1" si="122"/>
        <v>5.7198878212016613</v>
      </c>
      <c r="H75" s="471">
        <f t="shared" ca="1" si="122"/>
        <v>4.2094384428002449</v>
      </c>
      <c r="I75" s="465">
        <f t="shared" ref="I75:L75" ca="1" si="123">IF(I60="Use Tafel",I71/I14,I74/I14)</f>
        <v>3.0620090110302915</v>
      </c>
      <c r="J75" s="465">
        <f t="shared" ca="1" si="123"/>
        <v>3.19535219249045</v>
      </c>
      <c r="K75" s="465">
        <f t="shared" ca="1" si="123"/>
        <v>2.4519714657843488</v>
      </c>
      <c r="L75" s="465">
        <f t="shared" ca="1" si="123"/>
        <v>1.8820381453329722</v>
      </c>
      <c r="N75" t="s">
        <v>772</v>
      </c>
      <c r="O75" t="s">
        <v>736</v>
      </c>
      <c r="P75" s="4">
        <f ca="1">IF(P60="Use Tafel",P71/P16,P74/P16)</f>
        <v>123.8229890333464</v>
      </c>
      <c r="Q75" s="465">
        <f t="shared" ref="Q75" ca="1" si="124">IF(Q60="Use Tafel",Q71/Q16,Q74/Q16)</f>
        <v>52.00536203361235</v>
      </c>
      <c r="R75" s="465">
        <f t="shared" ref="R75:V75" ca="1" si="125">IF(R60="Use Tafel",R71/R16,R74/R16)</f>
        <v>20.378079164495713</v>
      </c>
      <c r="S75" s="465">
        <f t="shared" ca="1" si="125"/>
        <v>6.8291462003629055</v>
      </c>
      <c r="T75" s="465">
        <f t="shared" ca="1" si="125"/>
        <v>7.4586788865064531</v>
      </c>
      <c r="U75" s="465">
        <f t="shared" ca="1" si="125"/>
        <v>5.4573457338292233</v>
      </c>
      <c r="V75" s="465">
        <f t="shared" ca="1" si="125"/>
        <v>4.1678302419759268</v>
      </c>
      <c r="W75" s="471">
        <f t="shared" ref="W75:Y75" ca="1" si="126">IF(W60="Use Tafel",W71/W16,W74/W16)</f>
        <v>3.1953521924904495</v>
      </c>
      <c r="X75" s="471">
        <f ca="1">IF(X60="Use Tafel",X71/X16,X74/X16)</f>
        <v>2.4519714657843488</v>
      </c>
      <c r="Y75" s="471">
        <f t="shared" ca="1" si="126"/>
        <v>1.882038145332972</v>
      </c>
    </row>
    <row r="76" spans="1:25" ht="15" x14ac:dyDescent="0.25">
      <c r="A76" s="369"/>
      <c r="C76" s="435"/>
      <c r="D76" s="435"/>
      <c r="E76" s="435"/>
      <c r="F76" s="435"/>
      <c r="G76" s="435"/>
      <c r="H76" s="435"/>
      <c r="I76" s="435"/>
      <c r="J76" s="435"/>
      <c r="K76" s="435"/>
      <c r="L76" s="435"/>
      <c r="N76" s="369"/>
      <c r="P76" s="390"/>
      <c r="Q76" s="390"/>
      <c r="R76" s="390"/>
      <c r="S76" s="390"/>
      <c r="T76" s="390"/>
      <c r="U76" s="390"/>
      <c r="V76" s="390"/>
      <c r="W76" s="390"/>
      <c r="X76" s="390"/>
      <c r="Y76" s="390"/>
    </row>
    <row r="77" spans="1:25" ht="15" x14ac:dyDescent="0.25">
      <c r="A77" s="385" t="s">
        <v>636</v>
      </c>
      <c r="N77" s="385" t="s">
        <v>636</v>
      </c>
    </row>
    <row r="78" spans="1:25" x14ac:dyDescent="0.2">
      <c r="C78" s="256"/>
      <c r="D78" s="256"/>
      <c r="E78" s="256"/>
      <c r="F78" s="256"/>
      <c r="G78" s="256"/>
      <c r="H78" s="256"/>
      <c r="I78" s="256"/>
      <c r="J78" s="256"/>
      <c r="K78" s="256"/>
      <c r="L78" s="256"/>
      <c r="P78" s="256"/>
      <c r="Q78" s="256"/>
      <c r="R78" s="256"/>
      <c r="S78" s="256"/>
      <c r="T78" s="256"/>
      <c r="U78" s="256"/>
      <c r="V78" s="256"/>
      <c r="W78" s="256"/>
      <c r="X78" s="256"/>
      <c r="Y78" s="256"/>
    </row>
    <row r="79" spans="1:25" ht="15" x14ac:dyDescent="0.25">
      <c r="A79" t="s">
        <v>734</v>
      </c>
      <c r="B79" t="s">
        <v>720</v>
      </c>
      <c r="C79" s="66">
        <f ca="1">C80*C$14</f>
        <v>6.8688944440415652E-3</v>
      </c>
      <c r="D79" s="472">
        <f t="shared" ref="D79:L79" ca="1" si="127">D80*D$14</f>
        <v>1.043728303723622E-2</v>
      </c>
      <c r="E79" s="472">
        <f t="shared" ca="1" si="127"/>
        <v>1.6019173390299742E-2</v>
      </c>
      <c r="F79" s="472">
        <f t="shared" ca="1" si="127"/>
        <v>2.3056085297733068E-2</v>
      </c>
      <c r="G79" s="472">
        <f t="shared" ca="1" si="127"/>
        <v>3.3199266445827463E-2</v>
      </c>
      <c r="H79" s="472">
        <f t="shared" ca="1" si="127"/>
        <v>3.7287582466412054E-2</v>
      </c>
      <c r="I79" s="470">
        <f t="shared" ca="1" si="127"/>
        <v>3.5945620373242101E-2</v>
      </c>
      <c r="J79" s="470">
        <f t="shared" ca="1" si="127"/>
        <v>4.0086055936713633E-2</v>
      </c>
      <c r="K79" s="470">
        <f t="shared" ca="1" si="127"/>
        <v>3.906005402339318E-2</v>
      </c>
      <c r="L79" s="470">
        <f t="shared" ca="1" si="127"/>
        <v>3.8182520849947228E-2</v>
      </c>
      <c r="N79" t="s">
        <v>734</v>
      </c>
      <c r="O79" t="s">
        <v>720</v>
      </c>
      <c r="P79" s="66">
        <f t="shared" ref="P79:Y79" ca="1" si="128">P80*P$16</f>
        <v>1.8070788530687853E-3</v>
      </c>
      <c r="Q79" s="470">
        <f t="shared" ca="1" si="128"/>
        <v>2.7382394641705388E-3</v>
      </c>
      <c r="R79" s="470">
        <f t="shared" ca="1" si="128"/>
        <v>4.1858722313272553E-3</v>
      </c>
      <c r="S79" s="470">
        <f t="shared" ca="1" si="128"/>
        <v>5.9919105636787864E-3</v>
      </c>
      <c r="T79" s="470">
        <f t="shared" ca="1" si="128"/>
        <v>8.6831753841740082E-3</v>
      </c>
      <c r="U79" s="470">
        <f t="shared" ca="1" si="128"/>
        <v>9.8428110644606312E-3</v>
      </c>
      <c r="V79" s="470">
        <f t="shared" ca="1" si="128"/>
        <v>9.6818120189883176E-3</v>
      </c>
      <c r="W79" s="472">
        <f t="shared" ca="1" si="128"/>
        <v>1.0721130153822624E-2</v>
      </c>
      <c r="X79" s="472">
        <f t="shared" ca="1" si="128"/>
        <v>1.058090172415393E-2</v>
      </c>
      <c r="Y79" s="472">
        <f t="shared" ca="1" si="128"/>
        <v>1.0461023010275617E-2</v>
      </c>
    </row>
    <row r="80" spans="1:25" ht="17.25" x14ac:dyDescent="0.25">
      <c r="A80" t="s">
        <v>735</v>
      </c>
      <c r="B80" t="s">
        <v>736</v>
      </c>
      <c r="C80" s="20">
        <f ca="1">'Iterative I-V'!C80</f>
        <v>2.281746766921986</v>
      </c>
      <c r="D80" s="464">
        <f ca="1">'Iterative I-V'!D80</f>
        <v>1.995067624179079</v>
      </c>
      <c r="E80" s="464">
        <f ca="1">'Iterative I-V'!E80</f>
        <v>1.8432456791943237</v>
      </c>
      <c r="F80" s="464">
        <f ca="1">'Iterative I-V'!F80</f>
        <v>1.6960660151384928</v>
      </c>
      <c r="G80" s="464">
        <f ca="1">'Iterative I-V'!G80</f>
        <v>1.6704665300039845</v>
      </c>
      <c r="H80" s="464">
        <f ca="1">'Iterative I-V'!H80</f>
        <v>1.5200332372868981</v>
      </c>
      <c r="I80" s="464">
        <f ca="1">'Iterative I-V'!I80</f>
        <v>1.4951700250717284</v>
      </c>
      <c r="J80" s="464">
        <f ca="1">'Iterative I-V'!J80</f>
        <v>1.6556727614054287</v>
      </c>
      <c r="K80" s="464">
        <f ca="1">'Iterative I-V'!K80</f>
        <v>1.6340171721115768</v>
      </c>
      <c r="L80" s="464">
        <f ca="1">'Iterative I-V'!L80</f>
        <v>1.61550420581111</v>
      </c>
      <c r="N80" t="s">
        <v>735</v>
      </c>
      <c r="O80" t="s">
        <v>736</v>
      </c>
      <c r="P80" s="20">
        <f ca="1">C80</f>
        <v>2.281746766921986</v>
      </c>
      <c r="Q80" s="464">
        <f t="shared" ref="Q80:Y80" ca="1" si="129">D80</f>
        <v>1.995067624179079</v>
      </c>
      <c r="R80" s="464">
        <f t="shared" ca="1" si="129"/>
        <v>1.8432456791943237</v>
      </c>
      <c r="S80" s="464">
        <f t="shared" ca="1" si="129"/>
        <v>1.6960660151384928</v>
      </c>
      <c r="T80" s="464">
        <f t="shared" ca="1" si="129"/>
        <v>1.6704665300039845</v>
      </c>
      <c r="U80" s="464">
        <f t="shared" ca="1" si="129"/>
        <v>1.5200332372868981</v>
      </c>
      <c r="V80" s="464">
        <f t="shared" ca="1" si="129"/>
        <v>1.4951700250717284</v>
      </c>
      <c r="W80" s="464">
        <f t="shared" ca="1" si="129"/>
        <v>1.6556727614054287</v>
      </c>
      <c r="X80" s="464">
        <f t="shared" ca="1" si="129"/>
        <v>1.6340171721115768</v>
      </c>
      <c r="Y80" s="464">
        <f t="shared" ca="1" si="129"/>
        <v>1.61550420581111</v>
      </c>
    </row>
    <row r="81" spans="1:25" x14ac:dyDescent="0.2">
      <c r="C81" s="20"/>
      <c r="D81" s="464"/>
      <c r="E81" s="464"/>
      <c r="F81" s="464"/>
      <c r="G81" s="464"/>
      <c r="H81" s="464"/>
      <c r="I81" s="464"/>
      <c r="J81" s="464"/>
      <c r="K81" s="464"/>
      <c r="L81" s="464"/>
      <c r="P81" s="20"/>
      <c r="Q81" s="464"/>
      <c r="R81" s="464"/>
      <c r="S81" s="464"/>
      <c r="T81" s="464"/>
      <c r="U81" s="464"/>
      <c r="V81" s="464"/>
      <c r="W81" s="464"/>
      <c r="X81" s="464"/>
      <c r="Y81" s="464"/>
    </row>
    <row r="82" spans="1:25" x14ac:dyDescent="0.2">
      <c r="A82" t="s">
        <v>773</v>
      </c>
      <c r="N82" t="s">
        <v>774</v>
      </c>
    </row>
    <row r="83" spans="1:25" ht="17.25" x14ac:dyDescent="0.25">
      <c r="A83" s="391" t="s">
        <v>775</v>
      </c>
      <c r="B83" s="392" t="s">
        <v>736</v>
      </c>
      <c r="C83" s="421">
        <f t="shared" ref="C83" ca="1" si="130">C80+C75+C48+C41+C35+C26</f>
        <v>196.65378424721462</v>
      </c>
      <c r="D83" s="421">
        <f t="shared" ref="D83:H83" ca="1" si="131">D80+D75+D48+D41+D35+D26</f>
        <v>113.15972071487788</v>
      </c>
      <c r="E83" s="421">
        <f t="shared" ca="1" si="131"/>
        <v>68.118461265212261</v>
      </c>
      <c r="F83" s="421">
        <f t="shared" ca="1" si="131"/>
        <v>43.549070365658267</v>
      </c>
      <c r="G83" s="421">
        <f t="shared" ca="1" si="131"/>
        <v>29.787290254714407</v>
      </c>
      <c r="H83" s="421">
        <f t="shared" ca="1" si="131"/>
        <v>22.658550286083244</v>
      </c>
      <c r="I83" s="421">
        <f t="shared" ref="I83:L83" ca="1" si="132">I80+I75+I48+I41+I35+I26</f>
        <v>19.52408230037021</v>
      </c>
      <c r="J83" s="421">
        <f t="shared" ca="1" si="132"/>
        <v>17.811834924207488</v>
      </c>
      <c r="K83" s="421">
        <f t="shared" ca="1" si="132"/>
        <v>15.342566944502787</v>
      </c>
      <c r="L83" s="421">
        <f t="shared" ca="1" si="132"/>
        <v>13.102009627747202</v>
      </c>
      <c r="N83" s="391" t="s">
        <v>775</v>
      </c>
      <c r="O83" s="392" t="s">
        <v>736</v>
      </c>
      <c r="P83" s="421">
        <f ca="1">P80+P75+P48+P41+P35+P26</f>
        <v>421.05610074890524</v>
      </c>
      <c r="Q83" s="421">
        <f t="shared" ref="Q83" ca="1" si="133">Q80+Q75+Q48+Q41+Q35+Q26</f>
        <v>237.6377527313021</v>
      </c>
      <c r="R83" s="421">
        <f t="shared" ref="R83:V83" ca="1" si="134">R80+R75+R48+R41+R35+R26</f>
        <v>138.9728281801531</v>
      </c>
      <c r="S83" s="421">
        <f t="shared" ca="1" si="134"/>
        <v>85.243404371007102</v>
      </c>
      <c r="T83" s="421">
        <f t="shared" ca="1" si="134"/>
        <v>61.187698684305616</v>
      </c>
      <c r="U83" s="421">
        <f t="shared" ca="1" si="134"/>
        <v>45.844543588840097</v>
      </c>
      <c r="V83" s="421">
        <f t="shared" ca="1" si="134"/>
        <v>38.123887948144208</v>
      </c>
      <c r="W83" s="421">
        <f t="shared" ref="W83:Y83" ca="1" si="135">W80+W75+W48+W41+W35+W26</f>
        <v>31.312464969671176</v>
      </c>
      <c r="X83" s="421">
        <f ca="1">X80+X75+X48+X41+X35+X26</f>
        <v>24.997700340207871</v>
      </c>
      <c r="Y83" s="421">
        <f t="shared" ca="1" si="135"/>
        <v>19.45252024623797</v>
      </c>
    </row>
    <row r="84" spans="1:25" ht="15" x14ac:dyDescent="0.25">
      <c r="A84" s="391" t="s">
        <v>776</v>
      </c>
      <c r="B84" s="392" t="s">
        <v>720</v>
      </c>
      <c r="C84" s="423">
        <f t="shared" ref="C84" ca="1" si="136">C83*C14</f>
        <v>0.59200000000227959</v>
      </c>
      <c r="D84" s="423">
        <f t="shared" ref="D84:H84" ca="1" si="137">D83*D14</f>
        <v>0.59200000000089248</v>
      </c>
      <c r="E84" s="423">
        <f t="shared" ca="1" si="137"/>
        <v>0.59200000000259378</v>
      </c>
      <c r="F84" s="423">
        <f t="shared" ca="1" si="137"/>
        <v>0.59200000001506581</v>
      </c>
      <c r="G84" s="423">
        <f t="shared" ca="1" si="137"/>
        <v>0.59200000006142417</v>
      </c>
      <c r="H84" s="423">
        <f t="shared" ca="1" si="137"/>
        <v>0.55583163685933012</v>
      </c>
      <c r="I84" s="423">
        <f t="shared" ref="I84:L84" ca="1" si="138">I83*I14</f>
        <v>0.46938156780627244</v>
      </c>
      <c r="J84" s="423">
        <f t="shared" ca="1" si="138"/>
        <v>0.4312483890241704</v>
      </c>
      <c r="K84" s="423">
        <f t="shared" ca="1" si="138"/>
        <v>0.36675348578826567</v>
      </c>
      <c r="L84" s="423">
        <f t="shared" ca="1" si="138"/>
        <v>0.30966663781385401</v>
      </c>
      <c r="N84" s="391" t="s">
        <v>776</v>
      </c>
      <c r="O84" s="392" t="s">
        <v>720</v>
      </c>
      <c r="P84" s="423">
        <f t="shared" ref="P84:Q84" ca="1" si="139">P83*P16</f>
        <v>0.33346451352689871</v>
      </c>
      <c r="Q84" s="423">
        <f t="shared" ca="1" si="139"/>
        <v>0.32615890550246845</v>
      </c>
      <c r="R84" s="423">
        <f t="shared" ref="R84:V84" ca="1" si="140">R83*R16</f>
        <v>0.31559683494962476</v>
      </c>
      <c r="S84" s="423">
        <f t="shared" ca="1" si="140"/>
        <v>0.30115033882855335</v>
      </c>
      <c r="T84" s="423">
        <f t="shared" ca="1" si="140"/>
        <v>0.31805696761148772</v>
      </c>
      <c r="U84" s="423">
        <f t="shared" ca="1" si="140"/>
        <v>0.29686139079882629</v>
      </c>
      <c r="V84" s="423">
        <f t="shared" ca="1" si="140"/>
        <v>0.2468671190283093</v>
      </c>
      <c r="W84" s="423">
        <f t="shared" ref="W84:Y84" ca="1" si="141">W83*W16</f>
        <v>0.20276048516488901</v>
      </c>
      <c r="X84" s="423">
        <f t="shared" ca="1" si="141"/>
        <v>0.16186990880137936</v>
      </c>
      <c r="Y84" s="423">
        <f t="shared" ca="1" si="141"/>
        <v>0.1259626939823274</v>
      </c>
    </row>
    <row r="86" spans="1:25" ht="15" x14ac:dyDescent="0.25">
      <c r="A86" s="385" t="s">
        <v>678</v>
      </c>
    </row>
    <row r="87" spans="1:25" x14ac:dyDescent="0.2">
      <c r="B87" s="256"/>
      <c r="C87" s="476"/>
      <c r="D87" s="476"/>
      <c r="E87" s="476"/>
      <c r="F87" s="476"/>
      <c r="G87" s="476"/>
      <c r="H87" s="476"/>
      <c r="I87" s="476"/>
      <c r="J87" s="476"/>
      <c r="K87" s="476"/>
      <c r="L87" s="476"/>
    </row>
    <row r="88" spans="1:25" x14ac:dyDescent="0.2">
      <c r="B88" s="256">
        <v>1</v>
      </c>
      <c r="C88" s="476">
        <f t="shared" ref="C88:E88" si="142">C87</f>
        <v>0</v>
      </c>
      <c r="D88" s="476">
        <f t="shared" si="142"/>
        <v>0</v>
      </c>
      <c r="E88" s="476">
        <f t="shared" si="142"/>
        <v>0</v>
      </c>
      <c r="F88" s="476">
        <f>F87</f>
        <v>0</v>
      </c>
      <c r="G88" s="476">
        <f t="shared" ref="G88" si="143">G87</f>
        <v>0</v>
      </c>
      <c r="H88" s="476">
        <f>H87</f>
        <v>0</v>
      </c>
      <c r="I88" s="476">
        <f t="shared" ref="I88:L88" si="144">I87</f>
        <v>0</v>
      </c>
      <c r="J88" s="476">
        <f t="shared" si="144"/>
        <v>0</v>
      </c>
      <c r="K88" s="476">
        <f t="shared" si="144"/>
        <v>0</v>
      </c>
      <c r="L88" s="476">
        <f t="shared" si="144"/>
        <v>0</v>
      </c>
    </row>
    <row r="89" spans="1:25" x14ac:dyDescent="0.2">
      <c r="B89" s="256">
        <v>1</v>
      </c>
      <c r="C89" s="476">
        <f t="shared" ref="C89:L89" ca="1" si="145">C34+C88</f>
        <v>0.17785109573526545</v>
      </c>
      <c r="D89" s="476">
        <f t="shared" ca="1" si="145"/>
        <v>0.18728983603111807</v>
      </c>
      <c r="E89" s="476">
        <f t="shared" ca="1" si="145"/>
        <v>0.19438173556837185</v>
      </c>
      <c r="F89" s="476">
        <f t="shared" ca="1" si="145"/>
        <v>0.19833559364778441</v>
      </c>
      <c r="G89" s="476">
        <f t="shared" ca="1" si="145"/>
        <v>0.19876562129429245</v>
      </c>
      <c r="H89" s="476">
        <f t="shared" ca="1" si="145"/>
        <v>0.19036472010363689</v>
      </c>
      <c r="I89" s="476">
        <f t="shared" ca="1" si="145"/>
        <v>0.16995079276541991</v>
      </c>
      <c r="J89" s="476">
        <f t="shared" ca="1" si="145"/>
        <v>0.15099895659302764</v>
      </c>
      <c r="K89" s="476">
        <f t="shared" ca="1" si="145"/>
        <v>0.13111360294007657</v>
      </c>
      <c r="L89" s="476">
        <f t="shared" ca="1" si="145"/>
        <v>0.11150798580943708</v>
      </c>
    </row>
    <row r="90" spans="1:25" x14ac:dyDescent="0.2">
      <c r="B90" s="256">
        <v>2</v>
      </c>
      <c r="C90" s="476">
        <f t="shared" ref="C90:L90" ca="1" si="146">C89+C40</f>
        <v>0.23805842937681621</v>
      </c>
      <c r="D90" s="476">
        <f t="shared" ca="1" si="146"/>
        <v>0.24883740647724895</v>
      </c>
      <c r="E90" s="476">
        <f t="shared" ca="1" si="146"/>
        <v>0.25452528163609545</v>
      </c>
      <c r="F90" s="476">
        <f t="shared" ca="1" si="146"/>
        <v>0.25367392374508396</v>
      </c>
      <c r="G90" s="476">
        <f t="shared" ca="1" si="146"/>
        <v>0.24635664202250629</v>
      </c>
      <c r="H90" s="476">
        <f t="shared" ca="1" si="146"/>
        <v>0.22491857707493307</v>
      </c>
      <c r="I90" s="476">
        <f t="shared" ca="1" si="146"/>
        <v>0.18987090903378886</v>
      </c>
      <c r="J90" s="476">
        <f t="shared" ca="1" si="146"/>
        <v>0.16279961856382005</v>
      </c>
      <c r="K90" s="476">
        <f t="shared" ca="1" si="146"/>
        <v>0.13796714130108406</v>
      </c>
      <c r="L90" s="476">
        <f t="shared" ca="1" si="146"/>
        <v>0.11549406761908426</v>
      </c>
    </row>
    <row r="91" spans="1:25" x14ac:dyDescent="0.2">
      <c r="B91" s="256">
        <v>2</v>
      </c>
      <c r="C91" s="476">
        <f t="shared" ref="C91:L91" ca="1" si="147">C47+C90</f>
        <v>0.41590952511208168</v>
      </c>
      <c r="D91" s="476">
        <f t="shared" ca="1" si="147"/>
        <v>0.43612724250836699</v>
      </c>
      <c r="E91" s="476">
        <f t="shared" ca="1" si="147"/>
        <v>0.4489070172044673</v>
      </c>
      <c r="F91" s="476">
        <f t="shared" ca="1" si="147"/>
        <v>0.45200951739286838</v>
      </c>
      <c r="G91" s="476">
        <f t="shared" ca="1" si="147"/>
        <v>0.44512226331679872</v>
      </c>
      <c r="H91" s="476">
        <f t="shared" ca="1" si="147"/>
        <v>0.41528329717856993</v>
      </c>
      <c r="I91" s="476">
        <f t="shared" ca="1" si="147"/>
        <v>0.3598217017992088</v>
      </c>
      <c r="J91" s="476">
        <f t="shared" ca="1" si="147"/>
        <v>0.31379857515684773</v>
      </c>
      <c r="K91" s="476">
        <f t="shared" ca="1" si="147"/>
        <v>0.26908074424116063</v>
      </c>
      <c r="L91" s="476">
        <f t="shared" ca="1" si="147"/>
        <v>0.22700205342852134</v>
      </c>
    </row>
    <row r="92" spans="1:25" x14ac:dyDescent="0.2">
      <c r="B92" s="256">
        <v>2</v>
      </c>
      <c r="C92" s="476">
        <f ca="1">IF(C60="Use Tafel",C71+C91,C74+C91)</f>
        <v>0.58513110555819947</v>
      </c>
      <c r="D92" s="476">
        <f t="shared" ref="D92:L92" ca="1" si="148">IF(D60="Use Tafel",D71+D91,D74+D91)</f>
        <v>0.58156271696365613</v>
      </c>
      <c r="E92" s="476">
        <f t="shared" ca="1" si="148"/>
        <v>0.57598082661229433</v>
      </c>
      <c r="F92" s="476">
        <f t="shared" ca="1" si="148"/>
        <v>0.56894391471733408</v>
      </c>
      <c r="G92" s="476">
        <f t="shared" ca="1" si="148"/>
        <v>0.55880073361561333</v>
      </c>
      <c r="H92" s="476">
        <f t="shared" ca="1" si="148"/>
        <v>0.51854405439291407</v>
      </c>
      <c r="I92" s="476">
        <f t="shared" ca="1" si="148"/>
        <v>0.43343594743302682</v>
      </c>
      <c r="J92" s="476">
        <f t="shared" ca="1" si="148"/>
        <v>0.39116233308745685</v>
      </c>
      <c r="K92" s="476">
        <f t="shared" ca="1" si="148"/>
        <v>0.32769343176487253</v>
      </c>
      <c r="L92" s="476">
        <f t="shared" ca="1" si="148"/>
        <v>0.27148411696390679</v>
      </c>
    </row>
    <row r="93" spans="1:25" x14ac:dyDescent="0.2">
      <c r="B93" s="256">
        <v>3</v>
      </c>
      <c r="C93" s="476">
        <f t="shared" ref="C93:E93" ca="1" si="149">C92</f>
        <v>0.58513110555819947</v>
      </c>
      <c r="D93" s="476">
        <f t="shared" ca="1" si="149"/>
        <v>0.58156271696365613</v>
      </c>
      <c r="E93" s="476">
        <f t="shared" ca="1" si="149"/>
        <v>0.57598082661229433</v>
      </c>
      <c r="F93" s="476">
        <f ca="1">F92</f>
        <v>0.56894391471733408</v>
      </c>
      <c r="G93" s="476">
        <f t="shared" ref="G93" ca="1" si="150">G92</f>
        <v>0.55880073361561333</v>
      </c>
      <c r="H93" s="476">
        <f ca="1">H92</f>
        <v>0.51854405439291407</v>
      </c>
      <c r="I93" s="476">
        <f t="shared" ref="I93:L93" ca="1" si="151">I92</f>
        <v>0.43343594743302682</v>
      </c>
      <c r="J93" s="476">
        <f t="shared" ca="1" si="151"/>
        <v>0.39116233308745685</v>
      </c>
      <c r="K93" s="476">
        <f t="shared" ca="1" si="151"/>
        <v>0.32769343176487253</v>
      </c>
      <c r="L93" s="476">
        <f t="shared" ca="1" si="151"/>
        <v>0.27148411696390679</v>
      </c>
    </row>
    <row r="94" spans="1:25" x14ac:dyDescent="0.2">
      <c r="B94" s="256">
        <v>3</v>
      </c>
      <c r="C94" s="476">
        <f t="shared" ref="C94:E94" ca="1" si="152">C93+C79</f>
        <v>0.59200000000224107</v>
      </c>
      <c r="D94" s="476">
        <f t="shared" ca="1" si="152"/>
        <v>0.59200000000089237</v>
      </c>
      <c r="E94" s="476">
        <f t="shared" ca="1" si="152"/>
        <v>0.59200000000259412</v>
      </c>
      <c r="F94" s="476">
        <f ca="1">F93+F79</f>
        <v>0.59200000001506714</v>
      </c>
      <c r="G94" s="476">
        <f t="shared" ref="G94" ca="1" si="153">G93+G79</f>
        <v>0.59200000006144082</v>
      </c>
      <c r="H94" s="476">
        <f ca="1">H93+H79</f>
        <v>0.55583163685932613</v>
      </c>
      <c r="I94" s="476">
        <f t="shared" ref="I94:L94" ca="1" si="154">I93+I79</f>
        <v>0.46938156780626894</v>
      </c>
      <c r="J94" s="476">
        <f t="shared" ca="1" si="154"/>
        <v>0.43124838902417051</v>
      </c>
      <c r="K94" s="476">
        <f t="shared" ca="1" si="154"/>
        <v>0.36675348578826572</v>
      </c>
      <c r="L94" s="476">
        <f t="shared" ca="1" si="154"/>
        <v>0.30966663781385401</v>
      </c>
    </row>
    <row r="96" spans="1:25" x14ac:dyDescent="0.2">
      <c r="A96" s="17"/>
      <c r="B96" s="17"/>
      <c r="C96" s="17"/>
      <c r="D96" s="17"/>
      <c r="E96" s="17"/>
      <c r="F96" s="17"/>
      <c r="G96" s="17"/>
      <c r="H96" s="17"/>
      <c r="I96" s="17"/>
      <c r="J96" s="17"/>
      <c r="K96" s="17"/>
      <c r="L96" s="17"/>
    </row>
    <row r="97" spans="1:12" x14ac:dyDescent="0.2">
      <c r="A97" s="17"/>
      <c r="B97" s="17"/>
      <c r="C97" s="17"/>
      <c r="D97" s="17"/>
      <c r="E97" s="17"/>
      <c r="F97" s="17"/>
      <c r="G97" s="17"/>
      <c r="H97" s="17"/>
      <c r="I97" s="17"/>
      <c r="J97" s="17"/>
      <c r="K97" s="17"/>
      <c r="L97" s="17"/>
    </row>
    <row r="98" spans="1:12" ht="15" x14ac:dyDescent="0.25">
      <c r="A98" s="17"/>
      <c r="B98" s="17"/>
      <c r="C98" s="387"/>
      <c r="D98" s="387"/>
      <c r="E98" s="387"/>
      <c r="F98" s="387"/>
      <c r="G98" s="387"/>
      <c r="H98" s="387"/>
      <c r="I98" s="387"/>
      <c r="J98" s="387"/>
      <c r="K98" s="387"/>
      <c r="L98" s="387"/>
    </row>
    <row r="99" spans="1:12" x14ac:dyDescent="0.2">
      <c r="A99" s="17"/>
      <c r="B99" s="17"/>
      <c r="C99" s="52"/>
      <c r="D99" s="52"/>
      <c r="E99" s="52"/>
      <c r="F99" s="52"/>
      <c r="G99" s="52"/>
      <c r="H99" s="52"/>
      <c r="I99" s="52"/>
      <c r="J99" s="52"/>
      <c r="K99" s="52"/>
      <c r="L99" s="52"/>
    </row>
    <row r="100" spans="1:12" x14ac:dyDescent="0.2">
      <c r="A100" s="378"/>
      <c r="B100" s="17"/>
      <c r="C100" s="21"/>
      <c r="D100" s="21"/>
      <c r="E100" s="21"/>
      <c r="F100" s="21"/>
      <c r="G100" s="21"/>
      <c r="H100" s="21"/>
      <c r="I100" s="21"/>
      <c r="J100" s="21"/>
      <c r="K100" s="21"/>
      <c r="L100" s="21"/>
    </row>
    <row r="101" spans="1:12" x14ac:dyDescent="0.2">
      <c r="A101" s="17"/>
      <c r="B101" s="17"/>
      <c r="C101" s="21"/>
      <c r="D101" s="21"/>
      <c r="E101" s="21"/>
      <c r="F101" s="21"/>
      <c r="G101" s="21"/>
      <c r="H101" s="21"/>
      <c r="I101" s="21"/>
      <c r="J101" s="21"/>
      <c r="K101" s="21"/>
      <c r="L101" s="21"/>
    </row>
    <row r="102" spans="1:12" x14ac:dyDescent="0.2">
      <c r="A102" s="17"/>
      <c r="B102" s="17"/>
      <c r="C102" s="21"/>
      <c r="D102" s="21"/>
      <c r="E102" s="21"/>
      <c r="F102" s="21"/>
      <c r="G102" s="21"/>
      <c r="H102" s="21"/>
      <c r="I102" s="21"/>
      <c r="J102" s="21"/>
      <c r="K102" s="21"/>
      <c r="L102" s="21"/>
    </row>
    <row r="103" spans="1:12" x14ac:dyDescent="0.2">
      <c r="A103" s="157"/>
      <c r="B103" s="17"/>
      <c r="C103" s="394"/>
      <c r="D103" s="394"/>
      <c r="E103" s="394"/>
      <c r="F103" s="394"/>
      <c r="G103" s="394"/>
      <c r="H103" s="394"/>
      <c r="I103" s="394"/>
      <c r="J103" s="394"/>
      <c r="K103" s="394"/>
      <c r="L103" s="394"/>
    </row>
    <row r="104" spans="1:12" x14ac:dyDescent="0.2">
      <c r="A104" s="157"/>
      <c r="B104" s="17"/>
      <c r="C104" s="53"/>
      <c r="D104" s="53"/>
      <c r="E104" s="53"/>
      <c r="F104" s="53"/>
      <c r="G104" s="53"/>
      <c r="H104" s="53"/>
      <c r="I104" s="53"/>
      <c r="J104" s="53"/>
      <c r="K104" s="53"/>
      <c r="L104" s="53"/>
    </row>
    <row r="105" spans="1:12" x14ac:dyDescent="0.2">
      <c r="A105" s="17"/>
      <c r="B105" s="17"/>
      <c r="C105" s="52"/>
      <c r="D105" s="52"/>
      <c r="E105" s="52"/>
      <c r="F105" s="52"/>
      <c r="G105" s="52"/>
      <c r="H105" s="52"/>
      <c r="I105" s="52"/>
      <c r="J105" s="52"/>
      <c r="K105" s="52"/>
      <c r="L105" s="52"/>
    </row>
    <row r="106" spans="1:12" x14ac:dyDescent="0.2">
      <c r="A106" s="17"/>
      <c r="B106" s="17"/>
      <c r="C106" s="52"/>
      <c r="D106" s="52"/>
      <c r="E106" s="52"/>
      <c r="F106" s="52"/>
      <c r="G106" s="52"/>
      <c r="H106" s="52"/>
      <c r="I106" s="52"/>
      <c r="J106" s="52"/>
      <c r="K106" s="52"/>
      <c r="L106" s="52"/>
    </row>
    <row r="107" spans="1:12" x14ac:dyDescent="0.2">
      <c r="C107" s="256"/>
      <c r="D107" s="256"/>
      <c r="E107" s="256"/>
      <c r="F107" s="256"/>
      <c r="G107" s="256"/>
      <c r="H107" s="256"/>
      <c r="I107" s="256"/>
      <c r="J107" s="256"/>
      <c r="K107" s="256"/>
      <c r="L107" s="256"/>
    </row>
    <row r="108" spans="1:12" x14ac:dyDescent="0.2">
      <c r="C108" s="20"/>
      <c r="D108" s="20"/>
      <c r="E108" s="20"/>
      <c r="F108" s="20"/>
      <c r="G108" s="20"/>
      <c r="H108" s="20"/>
      <c r="I108" s="20"/>
      <c r="J108" s="20"/>
      <c r="K108" s="20"/>
      <c r="L108" s="20"/>
    </row>
    <row r="109" spans="1:12" x14ac:dyDescent="0.2">
      <c r="C109" s="212"/>
      <c r="D109" s="212"/>
      <c r="E109" s="212"/>
      <c r="F109" s="212"/>
      <c r="G109" s="212"/>
      <c r="H109" s="212"/>
      <c r="I109" s="212"/>
      <c r="J109" s="212"/>
      <c r="K109" s="212"/>
      <c r="L109" s="212"/>
    </row>
    <row r="110" spans="1:12" x14ac:dyDescent="0.2">
      <c r="C110" s="212"/>
      <c r="D110" s="212"/>
      <c r="E110" s="212"/>
      <c r="F110" s="212"/>
      <c r="G110" s="212"/>
      <c r="H110" s="212"/>
      <c r="I110" s="212"/>
      <c r="J110" s="212"/>
      <c r="K110" s="212"/>
      <c r="L110" s="212"/>
    </row>
    <row r="111" spans="1:12" x14ac:dyDescent="0.2">
      <c r="C111" s="4"/>
      <c r="D111" s="4"/>
      <c r="E111" s="4"/>
      <c r="F111" s="4"/>
      <c r="G111" s="4"/>
      <c r="H111" s="4"/>
      <c r="I111" s="4"/>
      <c r="J111" s="4"/>
      <c r="K111" s="4"/>
      <c r="L111" s="4"/>
    </row>
  </sheetData>
  <phoneticPr fontId="44" type="noConversion"/>
  <pageMargins left="0.75" right="0.75" top="1" bottom="1" header="0.5" footer="0.5"/>
  <pageSetup orientation="portrait" horizontalDpi="4294967292" verticalDpi="4294967292"/>
  <legacy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AH215"/>
  <sheetViews>
    <sheetView workbookViewId="0">
      <selection activeCell="D12" sqref="D12"/>
    </sheetView>
  </sheetViews>
  <sheetFormatPr defaultColWidth="8.85546875" defaultRowHeight="12.75" x14ac:dyDescent="0.2"/>
  <cols>
    <col min="1" max="1" width="32" customWidth="1"/>
    <col min="2" max="2" width="17.140625" customWidth="1"/>
    <col min="3" max="3" width="15.42578125" style="256" customWidth="1"/>
    <col min="4" max="4" width="16.7109375" style="256" customWidth="1"/>
    <col min="5" max="12" width="17.28515625" customWidth="1"/>
    <col min="13" max="13" width="10.7109375" customWidth="1"/>
  </cols>
  <sheetData>
    <row r="1" spans="1:13" ht="18.75" x14ac:dyDescent="0.3">
      <c r="A1" s="363" t="s">
        <v>423</v>
      </c>
    </row>
    <row r="2" spans="1:13" ht="15" x14ac:dyDescent="0.25">
      <c r="A2" s="364" t="s">
        <v>605</v>
      </c>
    </row>
    <row r="3" spans="1:13" x14ac:dyDescent="0.2">
      <c r="A3" s="365" t="s">
        <v>606</v>
      </c>
      <c r="B3" t="s">
        <v>607</v>
      </c>
      <c r="C3" s="256">
        <v>8.3140000000000001</v>
      </c>
      <c r="D3" s="256">
        <v>8.3140000000000001</v>
      </c>
      <c r="E3" s="256">
        <v>8.3140000000000001</v>
      </c>
      <c r="F3" s="256">
        <v>8.3140000000000001</v>
      </c>
      <c r="G3" s="256">
        <v>8.3140000000000001</v>
      </c>
      <c r="H3" s="256">
        <v>8.3140000000000001</v>
      </c>
      <c r="I3" s="256">
        <v>8.3140000000000001</v>
      </c>
      <c r="J3" s="256">
        <v>8.3140000000000001</v>
      </c>
      <c r="K3" s="256">
        <v>8.3140000000000001</v>
      </c>
      <c r="L3" s="256">
        <v>8.3140000000000001</v>
      </c>
    </row>
    <row r="4" spans="1:13" x14ac:dyDescent="0.2">
      <c r="A4" t="s">
        <v>608</v>
      </c>
      <c r="B4" t="s">
        <v>609</v>
      </c>
      <c r="C4" s="256">
        <v>96485</v>
      </c>
      <c r="D4" s="256">
        <v>96485</v>
      </c>
      <c r="E4" s="256">
        <v>96485</v>
      </c>
      <c r="F4" s="256">
        <v>96485</v>
      </c>
      <c r="G4" s="256">
        <v>96485</v>
      </c>
      <c r="H4" s="256">
        <v>96485</v>
      </c>
      <c r="I4" s="256">
        <v>96485</v>
      </c>
      <c r="J4" s="256">
        <v>96485</v>
      </c>
      <c r="K4" s="256">
        <v>96485</v>
      </c>
      <c r="L4" s="256">
        <v>96485</v>
      </c>
      <c r="M4" s="482"/>
    </row>
    <row r="5" spans="1:13" x14ac:dyDescent="0.2">
      <c r="A5" t="s">
        <v>610</v>
      </c>
      <c r="B5" t="s">
        <v>611</v>
      </c>
      <c r="C5" s="418">
        <f>Chem!$E$6</f>
        <v>2</v>
      </c>
      <c r="D5" s="418">
        <f>Chem!$E$6</f>
        <v>2</v>
      </c>
      <c r="E5" s="418">
        <f>Chem!$E$6</f>
        <v>2</v>
      </c>
      <c r="F5" s="418">
        <f>Chem!$E$6</f>
        <v>2</v>
      </c>
      <c r="G5" s="418">
        <f>Chem!$E$6</f>
        <v>2</v>
      </c>
      <c r="H5" s="418">
        <f>Chem!$E$6</f>
        <v>2</v>
      </c>
      <c r="I5" s="418">
        <f>Chem!$E$6</f>
        <v>2</v>
      </c>
      <c r="J5" s="418">
        <f>Chem!$E$6</f>
        <v>2</v>
      </c>
      <c r="K5" s="418">
        <f>Chem!$E$6</f>
        <v>2</v>
      </c>
      <c r="L5" s="418">
        <f>Chem!$E$6</f>
        <v>2</v>
      </c>
    </row>
    <row r="6" spans="1:13" x14ac:dyDescent="0.2">
      <c r="A6" t="s">
        <v>612</v>
      </c>
      <c r="B6" t="s">
        <v>613</v>
      </c>
      <c r="C6" s="256">
        <v>0.21</v>
      </c>
      <c r="D6" s="256">
        <v>0.21</v>
      </c>
      <c r="E6" s="256">
        <v>0.21</v>
      </c>
      <c r="F6" s="256">
        <v>0.21</v>
      </c>
      <c r="G6" s="256">
        <v>0.21</v>
      </c>
      <c r="H6" s="256">
        <v>0.21</v>
      </c>
      <c r="I6" s="256">
        <v>0.21</v>
      </c>
      <c r="J6" s="256">
        <v>0.21</v>
      </c>
      <c r="K6" s="256">
        <v>0.21</v>
      </c>
      <c r="L6" s="256">
        <v>0.21</v>
      </c>
    </row>
    <row r="7" spans="1:13" ht="18.75" x14ac:dyDescent="0.3">
      <c r="A7" s="363"/>
      <c r="E7" s="256"/>
      <c r="F7" s="256"/>
      <c r="G7" s="256"/>
      <c r="H7" s="256"/>
      <c r="I7" s="256"/>
      <c r="J7" s="256"/>
      <c r="K7" s="256"/>
      <c r="L7" s="256"/>
    </row>
    <row r="8" spans="1:13" ht="15" x14ac:dyDescent="0.25">
      <c r="A8" s="364" t="s">
        <v>614</v>
      </c>
      <c r="E8" s="256"/>
      <c r="F8" s="256"/>
      <c r="G8" s="256"/>
      <c r="H8" s="256"/>
      <c r="I8" s="256"/>
      <c r="J8" s="256"/>
      <c r="K8" s="256"/>
      <c r="L8" s="256"/>
    </row>
    <row r="9" spans="1:13" x14ac:dyDescent="0.2">
      <c r="A9" t="s">
        <v>615</v>
      </c>
      <c r="B9" t="s">
        <v>616</v>
      </c>
      <c r="C9" s="268">
        <v>80</v>
      </c>
      <c r="D9" s="268">
        <v>80</v>
      </c>
      <c r="E9" s="268">
        <v>80</v>
      </c>
      <c r="F9" s="268">
        <v>80</v>
      </c>
      <c r="G9" s="268">
        <v>80</v>
      </c>
      <c r="H9" s="268">
        <v>80</v>
      </c>
      <c r="I9" s="268">
        <v>80</v>
      </c>
      <c r="J9" s="268">
        <v>80</v>
      </c>
      <c r="K9" s="268">
        <v>80</v>
      </c>
      <c r="L9" s="268">
        <v>80</v>
      </c>
    </row>
    <row r="10" spans="1:13" x14ac:dyDescent="0.2">
      <c r="A10" s="252" t="s">
        <v>833</v>
      </c>
      <c r="B10" t="s">
        <v>617</v>
      </c>
      <c r="C10" s="268">
        <v>128</v>
      </c>
      <c r="D10" s="268">
        <v>128</v>
      </c>
      <c r="E10" s="268">
        <v>128</v>
      </c>
      <c r="F10" s="268">
        <v>128</v>
      </c>
      <c r="G10" s="268">
        <v>128</v>
      </c>
      <c r="H10" s="268">
        <v>128</v>
      </c>
      <c r="I10" s="268">
        <v>128</v>
      </c>
      <c r="J10" s="268">
        <v>127</v>
      </c>
      <c r="K10" s="268">
        <v>127</v>
      </c>
      <c r="L10" s="268">
        <v>127</v>
      </c>
    </row>
    <row r="11" spans="1:13" x14ac:dyDescent="0.2">
      <c r="A11" s="252" t="s">
        <v>834</v>
      </c>
      <c r="B11" t="s">
        <v>617</v>
      </c>
      <c r="C11" s="311">
        <f ca="1">C10*C12/100-C106</f>
        <v>100.17673157304253</v>
      </c>
      <c r="D11" s="311">
        <f t="shared" ref="D11:L11" ca="1" si="0">D10*D12/100-D106</f>
        <v>100.20065033531402</v>
      </c>
      <c r="E11" s="311">
        <f t="shared" ca="1" si="0"/>
        <v>100.23499719250454</v>
      </c>
      <c r="F11" s="311">
        <f t="shared" ca="1" si="0"/>
        <v>100.28153396426468</v>
      </c>
      <c r="G11" s="311">
        <f t="shared" ca="1" si="0"/>
        <v>100.22702160677696</v>
      </c>
      <c r="H11" s="311">
        <f t="shared" ca="1" si="0"/>
        <v>100.2952528364309</v>
      </c>
      <c r="I11" s="311">
        <f t="shared" ca="1" si="0"/>
        <v>100.46734175259533</v>
      </c>
      <c r="J11" s="311">
        <f t="shared" ca="1" si="0"/>
        <v>99.761982468854342</v>
      </c>
      <c r="K11" s="311">
        <f t="shared" ca="1" si="0"/>
        <v>99.892818540118768</v>
      </c>
      <c r="L11" s="311">
        <f t="shared" ca="1" si="0"/>
        <v>99.998582429974761</v>
      </c>
    </row>
    <row r="12" spans="1:13" x14ac:dyDescent="0.2">
      <c r="A12" t="s">
        <v>618</v>
      </c>
      <c r="B12" t="s">
        <v>619</v>
      </c>
      <c r="C12" s="256">
        <v>85</v>
      </c>
      <c r="D12" s="256">
        <v>85</v>
      </c>
      <c r="E12" s="256">
        <v>85</v>
      </c>
      <c r="F12" s="256">
        <v>85</v>
      </c>
      <c r="G12" s="256">
        <v>85</v>
      </c>
      <c r="H12" s="256">
        <v>85</v>
      </c>
      <c r="I12" s="256">
        <v>85</v>
      </c>
      <c r="J12" s="256">
        <v>85</v>
      </c>
      <c r="K12" s="256">
        <v>85</v>
      </c>
      <c r="L12" s="256">
        <v>85</v>
      </c>
    </row>
    <row r="13" spans="1:13" x14ac:dyDescent="0.2">
      <c r="A13" t="s">
        <v>547</v>
      </c>
      <c r="B13" t="s">
        <v>616</v>
      </c>
      <c r="C13" s="256">
        <v>20</v>
      </c>
      <c r="D13" s="256">
        <v>20</v>
      </c>
      <c r="E13" s="256">
        <v>20</v>
      </c>
      <c r="F13" s="256">
        <v>20</v>
      </c>
      <c r="G13" s="256">
        <v>20</v>
      </c>
      <c r="H13" s="256">
        <v>20</v>
      </c>
      <c r="I13" s="256">
        <v>20</v>
      </c>
      <c r="J13" s="256">
        <v>20</v>
      </c>
      <c r="K13" s="256">
        <v>20</v>
      </c>
      <c r="L13" s="256">
        <v>20</v>
      </c>
    </row>
    <row r="14" spans="1:13" x14ac:dyDescent="0.2">
      <c r="E14" s="256"/>
      <c r="F14" s="256"/>
      <c r="G14" s="256"/>
      <c r="H14" s="256"/>
      <c r="I14" s="256"/>
      <c r="J14" s="256"/>
      <c r="K14" s="256"/>
      <c r="L14" s="256"/>
    </row>
    <row r="15" spans="1:13" x14ac:dyDescent="0.2">
      <c r="A15" t="s">
        <v>884</v>
      </c>
      <c r="B15" t="s">
        <v>548</v>
      </c>
      <c r="C15" s="268">
        <v>300</v>
      </c>
      <c r="D15" s="268">
        <f>C15</f>
        <v>300</v>
      </c>
      <c r="E15" s="268">
        <f t="shared" ref="E15:L15" si="1">D15</f>
        <v>300</v>
      </c>
      <c r="F15" s="268">
        <f t="shared" si="1"/>
        <v>300</v>
      </c>
      <c r="G15" s="268">
        <f t="shared" si="1"/>
        <v>300</v>
      </c>
      <c r="H15" s="268">
        <f t="shared" si="1"/>
        <v>300</v>
      </c>
      <c r="I15" s="268">
        <f t="shared" si="1"/>
        <v>300</v>
      </c>
      <c r="J15" s="268">
        <f t="shared" si="1"/>
        <v>300</v>
      </c>
      <c r="K15" s="268">
        <f t="shared" si="1"/>
        <v>300</v>
      </c>
      <c r="L15" s="268">
        <f t="shared" si="1"/>
        <v>300</v>
      </c>
    </row>
    <row r="16" spans="1:13" x14ac:dyDescent="0.2">
      <c r="A16" t="s">
        <v>883</v>
      </c>
      <c r="B16" t="s">
        <v>548</v>
      </c>
      <c r="C16" s="268">
        <v>300</v>
      </c>
      <c r="D16" s="268">
        <f>C16</f>
        <v>300</v>
      </c>
      <c r="E16" s="268">
        <f t="shared" ref="E16" si="2">D16</f>
        <v>300</v>
      </c>
      <c r="F16" s="268">
        <f t="shared" ref="F16" si="3">E16</f>
        <v>300</v>
      </c>
      <c r="G16" s="268">
        <f t="shared" ref="G16" si="4">F16</f>
        <v>300</v>
      </c>
      <c r="H16" s="268">
        <f t="shared" ref="H16" si="5">G16</f>
        <v>300</v>
      </c>
      <c r="I16" s="268">
        <f t="shared" ref="I16" si="6">H16</f>
        <v>300</v>
      </c>
      <c r="J16" s="268">
        <f t="shared" ref="J16" si="7">I16</f>
        <v>300</v>
      </c>
      <c r="K16" s="268">
        <f t="shared" ref="K16" si="8">J16</f>
        <v>300</v>
      </c>
      <c r="L16" s="268">
        <f t="shared" ref="L16" si="9">K16</f>
        <v>300</v>
      </c>
    </row>
    <row r="17" spans="1:12" x14ac:dyDescent="0.2">
      <c r="A17" t="s">
        <v>626</v>
      </c>
      <c r="B17" t="s">
        <v>627</v>
      </c>
      <c r="C17" s="256">
        <v>20</v>
      </c>
      <c r="D17" s="256">
        <v>20</v>
      </c>
      <c r="E17" s="256">
        <v>20</v>
      </c>
      <c r="F17" s="256">
        <v>20</v>
      </c>
      <c r="G17" s="256">
        <v>20</v>
      </c>
      <c r="H17" s="256">
        <v>20</v>
      </c>
      <c r="I17" s="256">
        <v>20</v>
      </c>
      <c r="J17" s="256">
        <v>20</v>
      </c>
      <c r="K17" s="256">
        <v>20</v>
      </c>
      <c r="L17" s="256">
        <v>20</v>
      </c>
    </row>
    <row r="18" spans="1:12" x14ac:dyDescent="0.2">
      <c r="A18" t="s">
        <v>628</v>
      </c>
      <c r="B18" t="s">
        <v>627</v>
      </c>
      <c r="C18" s="256">
        <v>30</v>
      </c>
      <c r="D18" s="256">
        <v>30</v>
      </c>
      <c r="E18" s="256">
        <v>30</v>
      </c>
      <c r="F18" s="256">
        <v>30</v>
      </c>
      <c r="G18" s="256">
        <v>30</v>
      </c>
      <c r="H18" s="256">
        <v>30</v>
      </c>
      <c r="I18" s="256">
        <v>30</v>
      </c>
      <c r="J18" s="256">
        <v>30</v>
      </c>
      <c r="K18" s="256">
        <v>30</v>
      </c>
      <c r="L18" s="256">
        <v>30</v>
      </c>
    </row>
    <row r="19" spans="1:12" x14ac:dyDescent="0.2">
      <c r="A19" t="s">
        <v>629</v>
      </c>
      <c r="C19" s="256">
        <v>1.5</v>
      </c>
      <c r="D19" s="256">
        <v>1.5</v>
      </c>
      <c r="E19" s="256">
        <v>1.5</v>
      </c>
      <c r="F19" s="256">
        <v>1.5</v>
      </c>
      <c r="G19" s="256">
        <v>1.5</v>
      </c>
      <c r="H19" s="256">
        <v>1.5</v>
      </c>
      <c r="I19" s="256">
        <v>1.5</v>
      </c>
      <c r="J19" s="256">
        <v>1.5</v>
      </c>
      <c r="K19" s="256">
        <v>1.5</v>
      </c>
      <c r="L19" s="256">
        <v>1.5</v>
      </c>
    </row>
    <row r="20" spans="1:12" x14ac:dyDescent="0.2">
      <c r="E20" s="256"/>
      <c r="F20" s="256"/>
      <c r="G20" s="256"/>
      <c r="H20" s="256"/>
      <c r="I20" s="256"/>
      <c r="J20" s="256"/>
      <c r="K20" s="256"/>
      <c r="L20" s="256"/>
    </row>
    <row r="21" spans="1:12" x14ac:dyDescent="0.2">
      <c r="C21" s="256" t="s">
        <v>630</v>
      </c>
      <c r="D21" s="256" t="s">
        <v>630</v>
      </c>
      <c r="E21" s="256" t="s">
        <v>630</v>
      </c>
      <c r="F21" s="256" t="s">
        <v>630</v>
      </c>
      <c r="G21" s="256" t="s">
        <v>630</v>
      </c>
      <c r="H21" s="256" t="s">
        <v>630</v>
      </c>
      <c r="I21" s="256" t="s">
        <v>630</v>
      </c>
      <c r="J21" s="256" t="s">
        <v>630</v>
      </c>
      <c r="K21" s="256" t="s">
        <v>630</v>
      </c>
      <c r="L21" s="256" t="s">
        <v>630</v>
      </c>
    </row>
    <row r="22" spans="1:12" x14ac:dyDescent="0.2">
      <c r="A22" t="s">
        <v>723</v>
      </c>
      <c r="B22" t="s">
        <v>616</v>
      </c>
      <c r="C22" s="20">
        <f t="shared" ref="C22:L22" ca="1" si="10">C101</f>
        <v>7.7266596763802271</v>
      </c>
      <c r="D22" s="20">
        <f t="shared" ca="1" si="10"/>
        <v>7.7266596763777118</v>
      </c>
      <c r="E22" s="20">
        <f t="shared" ca="1" si="10"/>
        <v>7.726659676389267</v>
      </c>
      <c r="F22" s="20">
        <f t="shared" ca="1" si="10"/>
        <v>7.7266596764667259</v>
      </c>
      <c r="G22" s="20">
        <f t="shared" ca="1" si="10"/>
        <v>7.7266596767263698</v>
      </c>
      <c r="H22" s="20">
        <f t="shared" ca="1" si="10"/>
        <v>7.5948049574390595</v>
      </c>
      <c r="I22" s="20">
        <f t="shared" ca="1" si="10"/>
        <v>7.3060659890436721</v>
      </c>
      <c r="J22" s="20">
        <f t="shared" ca="1" si="10"/>
        <v>7.1835204963740233</v>
      </c>
      <c r="K22" s="20">
        <f t="shared" ca="1" si="10"/>
        <v>6.9887793052066325</v>
      </c>
      <c r="L22" s="20">
        <f t="shared" ca="1" si="10"/>
        <v>6.8225063208824839</v>
      </c>
    </row>
    <row r="23" spans="1:12" x14ac:dyDescent="0.2">
      <c r="A23" s="366" t="s">
        <v>724</v>
      </c>
      <c r="B23" t="s">
        <v>616</v>
      </c>
      <c r="C23" s="20">
        <v>7.73</v>
      </c>
      <c r="D23" s="464">
        <v>7.73</v>
      </c>
      <c r="E23" s="464">
        <v>7.73</v>
      </c>
      <c r="F23" s="464">
        <v>7.73</v>
      </c>
      <c r="G23" s="464">
        <v>7.73</v>
      </c>
      <c r="H23" s="464">
        <v>7.55</v>
      </c>
      <c r="I23" s="464">
        <v>7.25</v>
      </c>
      <c r="J23" s="464">
        <v>7.1</v>
      </c>
      <c r="K23" s="464">
        <v>6.9</v>
      </c>
      <c r="L23" s="464">
        <v>6.7</v>
      </c>
    </row>
    <row r="24" spans="1:12" x14ac:dyDescent="0.2">
      <c r="A24" t="s">
        <v>725</v>
      </c>
      <c r="B24" t="s">
        <v>616</v>
      </c>
      <c r="C24" s="20">
        <f t="shared" ref="C24:L24" ca="1" si="11">C105</f>
        <v>1.7246536853914924</v>
      </c>
      <c r="D24" s="20">
        <f t="shared" ca="1" si="11"/>
        <v>1.7198699329371947</v>
      </c>
      <c r="E24" s="20">
        <f t="shared" ca="1" si="11"/>
        <v>1.7130005614990922</v>
      </c>
      <c r="F24" s="20">
        <f t="shared" ca="1" si="11"/>
        <v>1.7036932071470618</v>
      </c>
      <c r="G24" s="20">
        <f t="shared" ca="1" si="11"/>
        <v>1.7145956786446066</v>
      </c>
      <c r="H24" s="20">
        <f t="shared" ca="1" si="11"/>
        <v>1.7009494327138188</v>
      </c>
      <c r="I24" s="20">
        <f t="shared" ca="1" si="11"/>
        <v>1.6665316494809321</v>
      </c>
      <c r="J24" s="20">
        <f t="shared" ca="1" si="11"/>
        <v>1.6376035062291323</v>
      </c>
      <c r="K24" s="20">
        <f t="shared" ca="1" si="11"/>
        <v>1.611436291976247</v>
      </c>
      <c r="L24" s="20">
        <f t="shared" ca="1" si="11"/>
        <v>1.5902835140050495</v>
      </c>
    </row>
    <row r="25" spans="1:12" x14ac:dyDescent="0.2">
      <c r="A25" s="366" t="s">
        <v>724</v>
      </c>
      <c r="B25" t="s">
        <v>616</v>
      </c>
      <c r="C25" s="20">
        <v>1.72</v>
      </c>
      <c r="D25" s="464">
        <v>1.72</v>
      </c>
      <c r="E25" s="464">
        <v>1.72</v>
      </c>
      <c r="F25" s="464">
        <v>1.72</v>
      </c>
      <c r="G25" s="464">
        <v>1.72</v>
      </c>
      <c r="H25" s="464">
        <v>1.72</v>
      </c>
      <c r="I25" s="464">
        <v>1.68</v>
      </c>
      <c r="J25" s="464">
        <v>1.65</v>
      </c>
      <c r="K25" s="464">
        <v>1.62</v>
      </c>
      <c r="L25" s="464">
        <v>1.61</v>
      </c>
    </row>
    <row r="26" spans="1:12" x14ac:dyDescent="0.2">
      <c r="E26" s="256"/>
      <c r="F26" s="256"/>
      <c r="G26" s="256"/>
      <c r="H26" s="256"/>
      <c r="I26" s="256"/>
      <c r="J26" s="256"/>
      <c r="K26" s="256"/>
      <c r="L26" s="256"/>
    </row>
    <row r="27" spans="1:12" ht="15" x14ac:dyDescent="0.25">
      <c r="A27" s="368" t="s">
        <v>639</v>
      </c>
      <c r="E27" s="256"/>
      <c r="F27" s="256"/>
      <c r="G27" s="256"/>
      <c r="H27" s="256"/>
      <c r="I27" s="256"/>
      <c r="J27" s="256"/>
      <c r="K27" s="256"/>
      <c r="L27" s="256"/>
    </row>
    <row r="28" spans="1:12" x14ac:dyDescent="0.2">
      <c r="A28" t="s">
        <v>553</v>
      </c>
      <c r="B28" t="s">
        <v>616</v>
      </c>
      <c r="C28" s="256">
        <f t="shared" ref="C28:L28" si="12">C9+C23</f>
        <v>87.73</v>
      </c>
      <c r="D28" s="256">
        <f t="shared" si="12"/>
        <v>87.73</v>
      </c>
      <c r="E28" s="256">
        <f t="shared" si="12"/>
        <v>87.73</v>
      </c>
      <c r="F28" s="256">
        <f t="shared" si="12"/>
        <v>87.73</v>
      </c>
      <c r="G28" s="256">
        <f t="shared" si="12"/>
        <v>87.73</v>
      </c>
      <c r="H28" s="256">
        <f t="shared" si="12"/>
        <v>87.55</v>
      </c>
      <c r="I28" s="256">
        <f t="shared" si="12"/>
        <v>87.25</v>
      </c>
      <c r="J28" s="256">
        <f t="shared" si="12"/>
        <v>87.1</v>
      </c>
      <c r="K28" s="256">
        <f t="shared" si="12"/>
        <v>86.9</v>
      </c>
      <c r="L28" s="256">
        <f t="shared" si="12"/>
        <v>86.7</v>
      </c>
    </row>
    <row r="29" spans="1:12" x14ac:dyDescent="0.2">
      <c r="A29" t="s">
        <v>554</v>
      </c>
      <c r="B29" t="s">
        <v>616</v>
      </c>
      <c r="C29" s="256">
        <f t="shared" ref="C29:L29" si="13">C13+C25</f>
        <v>21.72</v>
      </c>
      <c r="D29" s="256">
        <f t="shared" si="13"/>
        <v>21.72</v>
      </c>
      <c r="E29" s="256">
        <f t="shared" si="13"/>
        <v>21.72</v>
      </c>
      <c r="F29" s="256">
        <f t="shared" si="13"/>
        <v>21.72</v>
      </c>
      <c r="G29" s="256">
        <f t="shared" si="13"/>
        <v>21.72</v>
      </c>
      <c r="H29" s="256">
        <f t="shared" si="13"/>
        <v>21.72</v>
      </c>
      <c r="I29" s="256">
        <f t="shared" si="13"/>
        <v>21.68</v>
      </c>
      <c r="J29" s="256">
        <f t="shared" si="13"/>
        <v>21.65</v>
      </c>
      <c r="K29" s="256">
        <f t="shared" si="13"/>
        <v>21.62</v>
      </c>
      <c r="L29" s="256">
        <f t="shared" si="13"/>
        <v>21.61</v>
      </c>
    </row>
    <row r="30" spans="1:12" x14ac:dyDescent="0.2">
      <c r="A30" t="s">
        <v>738</v>
      </c>
      <c r="B30" t="s">
        <v>617</v>
      </c>
      <c r="C30" s="256">
        <f t="shared" ref="C30:L30" si="14">C10*C12/100</f>
        <v>108.8</v>
      </c>
      <c r="D30" s="256">
        <f t="shared" si="14"/>
        <v>108.8</v>
      </c>
      <c r="E30" s="256">
        <f t="shared" si="14"/>
        <v>108.8</v>
      </c>
      <c r="F30" s="256">
        <f t="shared" si="14"/>
        <v>108.8</v>
      </c>
      <c r="G30" s="256">
        <f t="shared" si="14"/>
        <v>108.8</v>
      </c>
      <c r="H30" s="256">
        <f t="shared" si="14"/>
        <v>108.8</v>
      </c>
      <c r="I30" s="256">
        <f t="shared" si="14"/>
        <v>108.8</v>
      </c>
      <c r="J30" s="256">
        <f t="shared" si="14"/>
        <v>107.95</v>
      </c>
      <c r="K30" s="256">
        <f t="shared" si="14"/>
        <v>107.95</v>
      </c>
      <c r="L30" s="256">
        <f t="shared" si="14"/>
        <v>107.95</v>
      </c>
    </row>
    <row r="31" spans="1:12" x14ac:dyDescent="0.2">
      <c r="A31" t="s">
        <v>640</v>
      </c>
      <c r="B31" t="s">
        <v>617</v>
      </c>
      <c r="C31" s="6">
        <f t="shared" ref="C31:L31" ca="1" si="15">C10+C106</f>
        <v>136.62326842695745</v>
      </c>
      <c r="D31" s="6">
        <f t="shared" ca="1" si="15"/>
        <v>136.59934966468597</v>
      </c>
      <c r="E31" s="6">
        <f t="shared" ca="1" si="15"/>
        <v>136.56500280749546</v>
      </c>
      <c r="F31" s="6">
        <f t="shared" ca="1" si="15"/>
        <v>136.51846603573532</v>
      </c>
      <c r="G31" s="6">
        <f t="shared" ca="1" si="15"/>
        <v>136.57297839322302</v>
      </c>
      <c r="H31" s="6">
        <f t="shared" ca="1" si="15"/>
        <v>136.50474716356911</v>
      </c>
      <c r="I31" s="6">
        <f t="shared" ca="1" si="15"/>
        <v>136.33265824740465</v>
      </c>
      <c r="J31" s="6">
        <f t="shared" ca="1" si="15"/>
        <v>135.18801753114565</v>
      </c>
      <c r="K31" s="6">
        <f t="shared" ca="1" si="15"/>
        <v>135.05718145988124</v>
      </c>
      <c r="L31" s="6">
        <f t="shared" ca="1" si="15"/>
        <v>134.95141757002526</v>
      </c>
    </row>
    <row r="32" spans="1:12" ht="15" x14ac:dyDescent="0.25">
      <c r="A32" s="367"/>
      <c r="C32" s="6"/>
      <c r="D32" s="6"/>
      <c r="E32" s="6"/>
      <c r="F32" s="6"/>
      <c r="G32" s="6"/>
      <c r="H32" s="6"/>
      <c r="I32" s="6"/>
      <c r="J32" s="6"/>
      <c r="K32" s="6"/>
      <c r="L32" s="6"/>
    </row>
    <row r="33" spans="1:34" ht="18.75" x14ac:dyDescent="0.3">
      <c r="A33" s="363" t="s">
        <v>650</v>
      </c>
      <c r="E33" s="256"/>
      <c r="F33" s="256"/>
      <c r="G33" s="256"/>
      <c r="H33" s="256"/>
      <c r="I33" s="256"/>
      <c r="J33" s="256"/>
      <c r="K33" s="256"/>
      <c r="L33" s="256"/>
    </row>
    <row r="34" spans="1:34" ht="15" x14ac:dyDescent="0.25">
      <c r="A34" s="364" t="s">
        <v>614</v>
      </c>
      <c r="E34" s="256"/>
      <c r="F34" s="256"/>
      <c r="G34" s="256"/>
      <c r="H34" s="256"/>
      <c r="I34" s="256"/>
      <c r="J34" s="256"/>
      <c r="K34" s="256"/>
      <c r="L34" s="256"/>
    </row>
    <row r="35" spans="1:34" x14ac:dyDescent="0.2">
      <c r="A35" t="s">
        <v>651</v>
      </c>
      <c r="B35" t="s">
        <v>652</v>
      </c>
      <c r="C35" s="256">
        <f>Chem!$E$41</f>
        <v>8</v>
      </c>
      <c r="D35" s="256">
        <f>Chem!$E$41</f>
        <v>8</v>
      </c>
      <c r="E35" s="256">
        <f>Chem!$E$41</f>
        <v>8</v>
      </c>
      <c r="F35" s="256">
        <f>Chem!$E$41</f>
        <v>8</v>
      </c>
      <c r="G35" s="256">
        <f>Chem!$E$41</f>
        <v>8</v>
      </c>
      <c r="H35" s="256">
        <f>Chem!$E$41</f>
        <v>8</v>
      </c>
      <c r="I35" s="256">
        <f>Chem!$E$41</f>
        <v>8</v>
      </c>
      <c r="J35" s="256">
        <f>Chem!$E$41</f>
        <v>8</v>
      </c>
      <c r="K35" s="256">
        <f>Chem!$E$41</f>
        <v>8</v>
      </c>
      <c r="L35" s="256">
        <f>Chem!$E$41</f>
        <v>8</v>
      </c>
      <c r="P35" s="252"/>
    </row>
    <row r="36" spans="1:34" x14ac:dyDescent="0.2">
      <c r="A36" t="s">
        <v>653</v>
      </c>
      <c r="B36" t="s">
        <v>652</v>
      </c>
      <c r="C36" s="256">
        <f>Chem!$E$38</f>
        <v>20</v>
      </c>
      <c r="D36" s="256">
        <f>Chem!$E$38</f>
        <v>20</v>
      </c>
      <c r="E36" s="256">
        <f>Chem!$E$38</f>
        <v>20</v>
      </c>
      <c r="F36" s="256">
        <f>Chem!$E$38</f>
        <v>20</v>
      </c>
      <c r="G36" s="256">
        <f>Chem!$E$38</f>
        <v>20</v>
      </c>
      <c r="H36" s="256">
        <f>Chem!$E$38</f>
        <v>20</v>
      </c>
      <c r="I36" s="256">
        <f>Chem!$E$38</f>
        <v>20</v>
      </c>
      <c r="J36" s="256">
        <f>Chem!$E$38</f>
        <v>20</v>
      </c>
      <c r="K36" s="256">
        <f>Chem!$E$38</f>
        <v>20</v>
      </c>
      <c r="L36" s="256">
        <f>Chem!$E$38</f>
        <v>20</v>
      </c>
    </row>
    <row r="37" spans="1:34" ht="15" x14ac:dyDescent="0.25">
      <c r="A37" s="367"/>
      <c r="C37" s="6"/>
      <c r="D37" s="6"/>
      <c r="E37" s="6"/>
      <c r="F37" s="6"/>
      <c r="G37" s="6"/>
      <c r="H37" s="6"/>
      <c r="I37" s="6"/>
      <c r="J37" s="6"/>
      <c r="K37" s="6"/>
      <c r="L37" s="6"/>
      <c r="P37" s="178"/>
      <c r="Q37" s="136"/>
      <c r="R37" s="136"/>
      <c r="S37" s="136"/>
      <c r="T37" s="136"/>
      <c r="U37" s="136"/>
      <c r="V37" s="136"/>
      <c r="W37" s="136"/>
      <c r="X37" s="136"/>
      <c r="Y37" s="136"/>
      <c r="AA37" s="6"/>
      <c r="AB37" s="6"/>
      <c r="AC37" s="6"/>
      <c r="AD37" s="6"/>
      <c r="AE37" s="6"/>
      <c r="AF37" s="6"/>
      <c r="AG37" s="6"/>
      <c r="AH37" s="6"/>
    </row>
    <row r="38" spans="1:34" ht="18.75" x14ac:dyDescent="0.3">
      <c r="A38" s="363" t="s">
        <v>655</v>
      </c>
      <c r="E38" s="256"/>
      <c r="F38" s="256"/>
      <c r="G38" s="256"/>
      <c r="H38" s="256"/>
      <c r="I38" s="256"/>
      <c r="J38" s="256"/>
      <c r="K38" s="256"/>
      <c r="L38" s="256"/>
      <c r="P38" s="178"/>
      <c r="Q38" s="136"/>
      <c r="R38" s="136"/>
      <c r="S38" s="136"/>
      <c r="T38" s="136"/>
      <c r="U38" s="136"/>
      <c r="V38" s="136"/>
      <c r="W38" s="136"/>
      <c r="X38" s="136"/>
      <c r="Y38" s="136"/>
      <c r="AA38" s="6"/>
      <c r="AB38" s="6"/>
      <c r="AC38" s="6"/>
      <c r="AD38" s="6"/>
      <c r="AE38" s="6"/>
      <c r="AF38" s="6"/>
      <c r="AG38" s="6"/>
      <c r="AH38" s="6"/>
    </row>
    <row r="39" spans="1:34" ht="15" x14ac:dyDescent="0.25">
      <c r="A39" s="364" t="s">
        <v>614</v>
      </c>
      <c r="E39" s="256"/>
      <c r="F39" s="256"/>
      <c r="G39" s="256"/>
      <c r="H39" s="256"/>
      <c r="I39" s="256"/>
      <c r="J39" s="256"/>
      <c r="K39" s="256"/>
      <c r="L39" s="256"/>
      <c r="P39" s="178"/>
      <c r="Q39" s="136"/>
      <c r="R39" s="136"/>
      <c r="S39" s="136"/>
      <c r="T39" s="136"/>
      <c r="U39" s="136"/>
      <c r="V39" s="136"/>
      <c r="W39" s="136"/>
      <c r="X39" s="136"/>
      <c r="Y39" s="136"/>
      <c r="AA39" s="6"/>
      <c r="AB39" s="6"/>
      <c r="AC39" s="6"/>
      <c r="AD39" s="6"/>
      <c r="AE39" s="6"/>
      <c r="AF39" s="6"/>
      <c r="AG39" s="6"/>
      <c r="AH39" s="6"/>
    </row>
    <row r="40" spans="1:34" ht="15" x14ac:dyDescent="0.25">
      <c r="A40" s="369" t="s">
        <v>567</v>
      </c>
      <c r="B40" s="369"/>
      <c r="C40" s="381">
        <v>1</v>
      </c>
      <c r="D40" s="468">
        <v>1</v>
      </c>
      <c r="E40" s="468">
        <v>1</v>
      </c>
      <c r="F40" s="468">
        <v>1</v>
      </c>
      <c r="G40" s="468">
        <v>1</v>
      </c>
      <c r="H40" s="468">
        <v>1</v>
      </c>
      <c r="I40" s="468">
        <v>1</v>
      </c>
      <c r="J40" s="468">
        <v>1</v>
      </c>
      <c r="K40" s="468">
        <v>1</v>
      </c>
      <c r="L40" s="468">
        <v>1</v>
      </c>
      <c r="P40" s="178"/>
      <c r="Q40" s="136"/>
      <c r="R40" s="136"/>
      <c r="S40" s="136"/>
      <c r="T40" s="136"/>
      <c r="U40" s="136"/>
      <c r="V40" s="136"/>
      <c r="W40" s="136"/>
      <c r="X40" s="136"/>
      <c r="Y40" s="136"/>
      <c r="AA40" s="6"/>
      <c r="AB40" s="6"/>
      <c r="AC40" s="6"/>
      <c r="AD40" s="6"/>
      <c r="AE40" s="6"/>
      <c r="AF40" s="6"/>
      <c r="AG40" s="6"/>
      <c r="AH40" s="6"/>
    </row>
    <row r="41" spans="1:34" ht="15" x14ac:dyDescent="0.25">
      <c r="A41" s="367" t="s">
        <v>568</v>
      </c>
      <c r="B41" t="s">
        <v>548</v>
      </c>
      <c r="C41" s="256">
        <v>30</v>
      </c>
      <c r="D41" s="256">
        <v>30</v>
      </c>
      <c r="E41" s="256">
        <v>30</v>
      </c>
      <c r="F41" s="256">
        <v>30</v>
      </c>
      <c r="G41" s="256">
        <v>30</v>
      </c>
      <c r="H41" s="256">
        <v>30</v>
      </c>
      <c r="I41" s="256">
        <v>30</v>
      </c>
      <c r="J41" s="256">
        <v>30</v>
      </c>
      <c r="K41" s="256">
        <v>30</v>
      </c>
      <c r="L41" s="256">
        <v>30</v>
      </c>
      <c r="P41" s="178"/>
      <c r="Q41" s="136"/>
      <c r="R41" s="136"/>
      <c r="S41" s="136"/>
      <c r="T41" s="136"/>
      <c r="U41" s="136"/>
      <c r="V41" s="136"/>
      <c r="W41" s="136"/>
      <c r="X41" s="136"/>
      <c r="Y41" s="136"/>
      <c r="AA41" s="6"/>
      <c r="AB41" s="6"/>
      <c r="AC41" s="6"/>
      <c r="AD41" s="6"/>
      <c r="AE41" s="6"/>
      <c r="AF41" s="6"/>
      <c r="AG41" s="6"/>
      <c r="AH41" s="6"/>
    </row>
    <row r="42" spans="1:34" x14ac:dyDescent="0.2">
      <c r="C42" s="4"/>
      <c r="D42" s="471"/>
      <c r="E42" s="471"/>
      <c r="F42" s="471"/>
      <c r="G42" s="471"/>
      <c r="H42" s="471"/>
      <c r="I42" s="471"/>
      <c r="J42" s="471"/>
      <c r="K42" s="471"/>
      <c r="L42" s="471"/>
      <c r="P42" s="178"/>
      <c r="Q42" s="136"/>
      <c r="R42" s="136"/>
      <c r="S42" s="136"/>
      <c r="T42" s="136"/>
      <c r="U42" s="136"/>
      <c r="V42" s="136"/>
      <c r="W42" s="136"/>
      <c r="X42" s="136"/>
      <c r="Y42" s="136"/>
      <c r="AA42" s="6"/>
      <c r="AB42" s="6"/>
      <c r="AC42" s="6"/>
      <c r="AD42" s="6"/>
      <c r="AE42" s="6"/>
      <c r="AF42" s="6"/>
      <c r="AG42" s="6"/>
      <c r="AH42" s="6"/>
    </row>
    <row r="43" spans="1:34" x14ac:dyDescent="0.2">
      <c r="A43" t="s">
        <v>570</v>
      </c>
      <c r="B43" t="s">
        <v>571</v>
      </c>
      <c r="C43" s="256">
        <v>1</v>
      </c>
      <c r="D43" s="256">
        <v>1</v>
      </c>
      <c r="E43" s="256">
        <v>1</v>
      </c>
      <c r="F43" s="256">
        <v>1</v>
      </c>
      <c r="G43" s="256">
        <v>1</v>
      </c>
      <c r="H43" s="256">
        <v>1</v>
      </c>
      <c r="I43" s="256">
        <v>1</v>
      </c>
      <c r="J43" s="256">
        <v>1</v>
      </c>
      <c r="K43" s="256">
        <v>1</v>
      </c>
      <c r="L43" s="256">
        <v>1</v>
      </c>
      <c r="P43" s="178"/>
      <c r="Q43" s="136"/>
      <c r="R43" s="136"/>
      <c r="S43" s="136"/>
      <c r="T43" s="136"/>
      <c r="U43" s="136"/>
      <c r="V43" s="136"/>
      <c r="W43" s="136"/>
      <c r="X43" s="136"/>
      <c r="Y43" s="136"/>
      <c r="AA43" s="6"/>
      <c r="AB43" s="6"/>
      <c r="AC43" s="6"/>
      <c r="AD43" s="6"/>
      <c r="AE43" s="6"/>
      <c r="AF43" s="6"/>
      <c r="AG43" s="6"/>
      <c r="AH43" s="6"/>
    </row>
    <row r="44" spans="1:34" x14ac:dyDescent="0.2">
      <c r="A44" t="s">
        <v>853</v>
      </c>
      <c r="B44" t="s">
        <v>572</v>
      </c>
      <c r="C44" s="4">
        <f t="shared" ref="C44:L44" ca="1" si="16">IF(C40=1,(C59-C41)*0.1+C45,50)</f>
        <v>15.310091633454546</v>
      </c>
      <c r="D44" s="4">
        <f t="shared" ca="1" si="16"/>
        <v>18.019721393825421</v>
      </c>
      <c r="E44" s="4">
        <f t="shared" ca="1" si="16"/>
        <v>20.997457377303714</v>
      </c>
      <c r="F44" s="4">
        <f t="shared" ca="1" si="16"/>
        <v>23.742076001950821</v>
      </c>
      <c r="G44" s="4">
        <f t="shared" ca="1" si="16"/>
        <v>26.856899239670597</v>
      </c>
      <c r="H44" s="4">
        <f t="shared" ca="1" si="16"/>
        <v>27.851313035873211</v>
      </c>
      <c r="I44" s="4">
        <f t="shared" ca="1" si="16"/>
        <v>27.526924450925119</v>
      </c>
      <c r="J44" s="4">
        <f t="shared" ca="1" si="16"/>
        <v>28.679280775489758</v>
      </c>
      <c r="K44" s="4">
        <f t="shared" ca="1" si="16"/>
        <v>28.441766957770277</v>
      </c>
      <c r="L44" s="4">
        <f t="shared" ca="1" si="16"/>
        <v>28.235374014887157</v>
      </c>
      <c r="P44" s="178"/>
      <c r="Q44" s="136"/>
      <c r="R44" s="136"/>
      <c r="S44" s="136"/>
      <c r="T44" s="136"/>
      <c r="U44" s="136"/>
      <c r="V44" s="136"/>
      <c r="W44" s="136"/>
      <c r="X44" s="136"/>
      <c r="Y44" s="136"/>
      <c r="AA44" s="6"/>
      <c r="AB44" s="6"/>
      <c r="AC44" s="6"/>
      <c r="AD44" s="6"/>
      <c r="AE44" s="6"/>
      <c r="AF44" s="6"/>
      <c r="AG44" s="6"/>
      <c r="AH44" s="6"/>
    </row>
    <row r="45" spans="1:34" x14ac:dyDescent="0.2">
      <c r="A45" t="s">
        <v>854</v>
      </c>
      <c r="C45" s="4">
        <f ca="1">C44</f>
        <v>15.310091633454546</v>
      </c>
      <c r="D45" s="4">
        <f t="shared" ref="D45:L45" ca="1" si="17">D44</f>
        <v>18.019721393825421</v>
      </c>
      <c r="E45" s="4">
        <f t="shared" ca="1" si="17"/>
        <v>20.997457377303714</v>
      </c>
      <c r="F45" s="4">
        <f t="shared" ca="1" si="17"/>
        <v>23.742076001950821</v>
      </c>
      <c r="G45" s="4">
        <f t="shared" ca="1" si="17"/>
        <v>26.856899239670597</v>
      </c>
      <c r="H45" s="4">
        <f t="shared" ca="1" si="17"/>
        <v>27.851313035873211</v>
      </c>
      <c r="I45" s="4">
        <f t="shared" ca="1" si="17"/>
        <v>27.526924450925119</v>
      </c>
      <c r="J45" s="4">
        <f t="shared" ca="1" si="17"/>
        <v>28.679280775489758</v>
      </c>
      <c r="K45" s="4">
        <f t="shared" ca="1" si="17"/>
        <v>28.441766957770277</v>
      </c>
      <c r="L45" s="4">
        <f t="shared" ca="1" si="17"/>
        <v>28.235374014887157</v>
      </c>
    </row>
    <row r="46" spans="1:34" x14ac:dyDescent="0.2">
      <c r="A46" t="s">
        <v>573</v>
      </c>
      <c r="B46" t="s">
        <v>574</v>
      </c>
      <c r="C46" s="256">
        <v>10</v>
      </c>
      <c r="D46" s="256">
        <v>10</v>
      </c>
      <c r="E46" s="256">
        <v>10</v>
      </c>
      <c r="F46" s="256">
        <v>10</v>
      </c>
      <c r="G46" s="256">
        <v>10</v>
      </c>
      <c r="H46" s="256">
        <v>10</v>
      </c>
      <c r="I46" s="256">
        <v>10</v>
      </c>
      <c r="J46" s="256">
        <v>10</v>
      </c>
      <c r="K46" s="256">
        <v>10</v>
      </c>
      <c r="L46" s="256">
        <v>10</v>
      </c>
    </row>
    <row r="47" spans="1:34" x14ac:dyDescent="0.2">
      <c r="A47" t="s">
        <v>575</v>
      </c>
      <c r="B47" t="s">
        <v>576</v>
      </c>
      <c r="C47" s="256">
        <v>70</v>
      </c>
      <c r="D47" s="256">
        <v>70</v>
      </c>
      <c r="E47" s="256">
        <v>70</v>
      </c>
      <c r="F47" s="256">
        <v>70</v>
      </c>
      <c r="G47" s="256">
        <v>70</v>
      </c>
      <c r="H47" s="256">
        <v>70</v>
      </c>
      <c r="I47" s="256">
        <v>70</v>
      </c>
      <c r="J47" s="256">
        <v>70</v>
      </c>
      <c r="K47" s="256">
        <v>70</v>
      </c>
      <c r="L47" s="256">
        <v>70</v>
      </c>
    </row>
    <row r="48" spans="1:34" x14ac:dyDescent="0.2">
      <c r="A48" t="s">
        <v>666</v>
      </c>
      <c r="B48" t="s">
        <v>667</v>
      </c>
      <c r="C48" s="256">
        <v>20</v>
      </c>
      <c r="D48" s="256">
        <v>20</v>
      </c>
      <c r="E48" s="256">
        <v>20</v>
      </c>
      <c r="F48" s="256">
        <v>20</v>
      </c>
      <c r="G48" s="256">
        <v>20</v>
      </c>
      <c r="H48" s="256">
        <v>20</v>
      </c>
      <c r="I48" s="256">
        <v>20</v>
      </c>
      <c r="J48" s="256">
        <v>20</v>
      </c>
      <c r="K48" s="256">
        <v>20</v>
      </c>
      <c r="L48" s="256">
        <v>20</v>
      </c>
    </row>
    <row r="49" spans="1:14" x14ac:dyDescent="0.2">
      <c r="A49" t="s">
        <v>668</v>
      </c>
      <c r="B49" t="s">
        <v>669</v>
      </c>
      <c r="C49" s="256" t="s">
        <v>670</v>
      </c>
      <c r="D49" s="256" t="s">
        <v>670</v>
      </c>
      <c r="E49" s="256" t="s">
        <v>670</v>
      </c>
      <c r="F49" s="256" t="s">
        <v>670</v>
      </c>
      <c r="G49" s="256" t="s">
        <v>670</v>
      </c>
      <c r="H49" s="256" t="s">
        <v>670</v>
      </c>
      <c r="I49" s="256" t="s">
        <v>670</v>
      </c>
      <c r="J49" s="256" t="s">
        <v>670</v>
      </c>
      <c r="K49" s="256" t="s">
        <v>670</v>
      </c>
      <c r="L49" s="256" t="s">
        <v>670</v>
      </c>
    </row>
    <row r="50" spans="1:14" x14ac:dyDescent="0.2">
      <c r="A50" t="s">
        <v>671</v>
      </c>
      <c r="B50" t="s">
        <v>672</v>
      </c>
      <c r="C50" s="371">
        <v>1.8E-5</v>
      </c>
      <c r="D50" s="371">
        <v>1.8E-5</v>
      </c>
      <c r="E50" s="371">
        <v>1.8E-5</v>
      </c>
      <c r="F50" s="371">
        <v>1.8E-5</v>
      </c>
      <c r="G50" s="371">
        <v>1.8E-5</v>
      </c>
      <c r="H50" s="371">
        <v>1.8E-5</v>
      </c>
      <c r="I50" s="371">
        <v>1.8E-5</v>
      </c>
      <c r="J50" s="371">
        <v>1.8E-5</v>
      </c>
      <c r="K50" s="371">
        <v>1.8E-5</v>
      </c>
      <c r="L50" s="371">
        <v>1.8E-5</v>
      </c>
    </row>
    <row r="51" spans="1:14" ht="15" x14ac:dyDescent="0.25">
      <c r="A51" s="367"/>
      <c r="C51" s="6"/>
      <c r="D51" s="6"/>
      <c r="E51" s="6"/>
      <c r="F51" s="6"/>
      <c r="G51" s="6"/>
      <c r="H51" s="6"/>
      <c r="I51" s="6"/>
      <c r="J51" s="6"/>
      <c r="K51" s="6"/>
      <c r="L51" s="6"/>
    </row>
    <row r="52" spans="1:14" ht="15" x14ac:dyDescent="0.25">
      <c r="A52" s="368" t="s">
        <v>654</v>
      </c>
      <c r="E52" s="256"/>
      <c r="F52" s="256"/>
      <c r="G52" s="256"/>
      <c r="H52" s="256"/>
      <c r="I52" s="256"/>
      <c r="J52" s="256"/>
      <c r="K52" s="256"/>
      <c r="L52" s="256"/>
    </row>
    <row r="53" spans="1:14" x14ac:dyDescent="0.2">
      <c r="A53" t="s">
        <v>673</v>
      </c>
      <c r="B53" t="s">
        <v>674</v>
      </c>
      <c r="C53" s="371">
        <f ca="1">'Iterative I-V'!C138*'Iterative I-V'!C135*C19/(C5*C4)</f>
        <v>1.1537808130199169E-5</v>
      </c>
      <c r="D53" s="371">
        <f ca="1">'Iterative I-V'!D138*'Iterative I-V'!D135*D19/(D5*D4)</f>
        <v>1.9998867425379078E-5</v>
      </c>
      <c r="E53" s="371">
        <f ca="1">'Iterative I-V'!E138*'Iterative I-V'!E135*E19/(E5*E4)</f>
        <v>3.3331445709012161E-5</v>
      </c>
      <c r="F53" s="371">
        <f ca="1">'Iterative I-V'!F138*'Iterative I-V'!F135*F19/(F5*F4)</f>
        <v>4.9997168564019895E-5</v>
      </c>
      <c r="G53" s="371">
        <f ca="1">'Iterative I-V'!G138*'Iterative I-V'!G135*G19/(G5*G4)</f>
        <v>7.4995752848502312E-5</v>
      </c>
      <c r="H53" s="371">
        <f ca="1">'Iterative I-V'!H138*'Iterative I-V'!H135*H19/(H5*H4)</f>
        <v>8.4246808449333512E-5</v>
      </c>
      <c r="I53" s="371">
        <f ca="1">'Iterative I-V'!I138*'Iterative I-V'!I135*I19/(I5*I4)</f>
        <v>8.1043916907209314E-5</v>
      </c>
      <c r="J53" s="371">
        <f ca="1">'Iterative I-V'!J138*'Iterative I-V'!J135*J19/(J5*J4)</f>
        <v>9.2965317531508413E-5</v>
      </c>
      <c r="K53" s="371">
        <f ca="1">'Iterative I-V'!K138*'Iterative I-V'!K135*K19/(K5*K4)</f>
        <v>9.0445080179575035E-5</v>
      </c>
      <c r="L53" s="371">
        <f ca="1">'Iterative I-V'!L138*'Iterative I-V'!L135*L19/(L5*L4)</f>
        <v>8.8293263282496705E-5</v>
      </c>
    </row>
    <row r="54" spans="1:14" x14ac:dyDescent="0.2">
      <c r="A54" t="s">
        <v>763</v>
      </c>
      <c r="B54" t="s">
        <v>674</v>
      </c>
      <c r="C54" s="371">
        <f t="shared" ref="C54:L54" ca="1" si="18">C53*(C19-1)/C19</f>
        <v>3.8459360433997228E-6</v>
      </c>
      <c r="D54" s="371">
        <f t="shared" ca="1" si="18"/>
        <v>6.6662891417930256E-6</v>
      </c>
      <c r="E54" s="371">
        <f t="shared" ca="1" si="18"/>
        <v>1.1110481903004054E-5</v>
      </c>
      <c r="F54" s="371">
        <f t="shared" ca="1" si="18"/>
        <v>1.6665722854673298E-5</v>
      </c>
      <c r="G54" s="371">
        <f t="shared" ca="1" si="18"/>
        <v>2.4998584282834104E-5</v>
      </c>
      <c r="H54" s="371">
        <f t="shared" ca="1" si="18"/>
        <v>2.808226948311117E-5</v>
      </c>
      <c r="I54" s="371">
        <f t="shared" ca="1" si="18"/>
        <v>2.7014638969069773E-5</v>
      </c>
      <c r="J54" s="371">
        <f t="shared" ca="1" si="18"/>
        <v>3.0988439177169473E-5</v>
      </c>
      <c r="K54" s="371">
        <f t="shared" ca="1" si="18"/>
        <v>3.0148360059858346E-5</v>
      </c>
      <c r="L54" s="371">
        <f t="shared" ca="1" si="18"/>
        <v>2.9431087760832235E-5</v>
      </c>
    </row>
    <row r="55" spans="1:14" x14ac:dyDescent="0.2">
      <c r="A55" t="s">
        <v>764</v>
      </c>
      <c r="B55" t="s">
        <v>674</v>
      </c>
      <c r="C55" s="371">
        <f t="shared" ref="C55:L55" ca="1" si="19">C53*(1-C6)/C6</f>
        <v>4.3404135346939731E-5</v>
      </c>
      <c r="D55" s="371">
        <f t="shared" ca="1" si="19"/>
        <v>7.5233834600235577E-5</v>
      </c>
      <c r="E55" s="371">
        <f t="shared" ca="1" si="19"/>
        <v>1.2538972433390289E-4</v>
      </c>
      <c r="F55" s="371">
        <f t="shared" ca="1" si="19"/>
        <v>1.8808458650274154E-4</v>
      </c>
      <c r="G55" s="371">
        <f t="shared" ca="1" si="19"/>
        <v>2.8212687976341349E-4</v>
      </c>
      <c r="H55" s="371">
        <f t="shared" ca="1" si="19"/>
        <v>3.169284698808261E-4</v>
      </c>
      <c r="I55" s="371">
        <f t="shared" ca="1" si="19"/>
        <v>3.0487949693664459E-4</v>
      </c>
      <c r="J55" s="371">
        <f t="shared" ca="1" si="19"/>
        <v>3.4972667071376975E-4</v>
      </c>
      <c r="K55" s="371">
        <f t="shared" ca="1" si="19"/>
        <v>3.4024577781840135E-4</v>
      </c>
      <c r="L55" s="371">
        <f t="shared" ca="1" si="19"/>
        <v>3.3215084758653527E-4</v>
      </c>
    </row>
    <row r="56" spans="1:14" x14ac:dyDescent="0.2">
      <c r="A56" t="s">
        <v>765</v>
      </c>
      <c r="B56" t="s">
        <v>674</v>
      </c>
      <c r="C56" s="371">
        <f t="shared" ref="C56:L56" ca="1" si="20">(C53+C54)/2+C55</f>
        <v>5.1096007433739178E-5</v>
      </c>
      <c r="D56" s="371">
        <f t="shared" ca="1" si="20"/>
        <v>8.8566412883821634E-5</v>
      </c>
      <c r="E56" s="371">
        <f t="shared" ca="1" si="20"/>
        <v>1.47610688139911E-4</v>
      </c>
      <c r="F56" s="371">
        <f t="shared" ca="1" si="20"/>
        <v>2.2141603221208814E-4</v>
      </c>
      <c r="G56" s="371">
        <f t="shared" ca="1" si="20"/>
        <v>3.3212404832908167E-4</v>
      </c>
      <c r="H56" s="371">
        <f t="shared" ca="1" si="20"/>
        <v>3.7309300884704843E-4</v>
      </c>
      <c r="I56" s="371">
        <f t="shared" ca="1" si="20"/>
        <v>3.5890877487478414E-4</v>
      </c>
      <c r="J56" s="371">
        <f t="shared" ca="1" si="20"/>
        <v>4.1170354906810871E-4</v>
      </c>
      <c r="K56" s="371">
        <f t="shared" ca="1" si="20"/>
        <v>4.0054249793811803E-4</v>
      </c>
      <c r="L56" s="371">
        <f t="shared" ca="1" si="20"/>
        <v>3.9101302310819977E-4</v>
      </c>
      <c r="M56" s="373"/>
    </row>
    <row r="57" spans="1:14" x14ac:dyDescent="0.2">
      <c r="A57" t="s">
        <v>766</v>
      </c>
      <c r="B57" t="s">
        <v>767</v>
      </c>
      <c r="C57" s="371">
        <f ca="1">C56*C3*(C18+273)/(C16*1000)</f>
        <v>4.2906032786214865E-7</v>
      </c>
      <c r="D57" s="371">
        <f t="shared" ref="D57:L57" ca="1" si="21">D56*D3*(D18+273)/(D16*1000)</f>
        <v>7.4370456828325398E-7</v>
      </c>
      <c r="E57" s="371">
        <f t="shared" ca="1" si="21"/>
        <v>1.2395076138071724E-6</v>
      </c>
      <c r="F57" s="371">
        <f t="shared" ca="1" si="21"/>
        <v>1.8592614207294137E-6</v>
      </c>
      <c r="G57" s="371">
        <f t="shared" ca="1" si="21"/>
        <v>2.7888921311860648E-6</v>
      </c>
      <c r="H57" s="371">
        <f t="shared" ca="1" si="21"/>
        <v>3.132914228309904E-6</v>
      </c>
      <c r="I57" s="371">
        <f t="shared" ca="1" si="21"/>
        <v>3.0138072298520445E-6</v>
      </c>
      <c r="J57" s="371">
        <f t="shared" ca="1" si="21"/>
        <v>3.4571323400217788E-6</v>
      </c>
      <c r="K57" s="371">
        <f t="shared" ca="1" si="21"/>
        <v>3.363411431136088E-6</v>
      </c>
      <c r="L57" s="371">
        <f t="shared" ca="1" si="21"/>
        <v>3.2833910968627887E-6</v>
      </c>
    </row>
    <row r="58" spans="1:14" x14ac:dyDescent="0.2">
      <c r="A58" t="s">
        <v>768</v>
      </c>
      <c r="B58" t="s">
        <v>769</v>
      </c>
      <c r="C58" s="371">
        <f t="shared" ref="C58:L58" ca="1" si="22">2*C44/1000000</f>
        <v>3.062018326690909E-5</v>
      </c>
      <c r="D58" s="371">
        <f t="shared" ca="1" si="22"/>
        <v>3.6039442787650843E-5</v>
      </c>
      <c r="E58" s="371">
        <f t="shared" ca="1" si="22"/>
        <v>4.1994914754607428E-5</v>
      </c>
      <c r="F58" s="371">
        <f t="shared" ca="1" si="22"/>
        <v>4.7484152003901641E-5</v>
      </c>
      <c r="G58" s="371">
        <f t="shared" ca="1" si="22"/>
        <v>5.3713798479341192E-5</v>
      </c>
      <c r="H58" s="371">
        <f t="shared" ca="1" si="22"/>
        <v>5.5702626071746424E-5</v>
      </c>
      <c r="I58" s="371">
        <f t="shared" ca="1" si="22"/>
        <v>5.5053848901850239E-5</v>
      </c>
      <c r="J58" s="371">
        <f t="shared" ca="1" si="22"/>
        <v>5.7358561550979513E-5</v>
      </c>
      <c r="K58" s="371">
        <f t="shared" ca="1" si="22"/>
        <v>5.6883533915540554E-5</v>
      </c>
      <c r="L58" s="371">
        <f t="shared" ca="1" si="22"/>
        <v>5.6470748029774312E-5</v>
      </c>
    </row>
    <row r="59" spans="1:14" x14ac:dyDescent="0.2">
      <c r="A59" t="s">
        <v>676</v>
      </c>
      <c r="B59" t="s">
        <v>548</v>
      </c>
      <c r="C59" s="20">
        <f t="shared" ref="C59:L59" ca="1" si="23">64*C50*(C63+2*C68/10)/100*C57/(2*C58^2*2*C44/1000000*C62/100*2*C44/(4*C44+2*C36))/1000</f>
        <v>30.000000000113939</v>
      </c>
      <c r="D59" s="464">
        <f t="shared" ca="1" si="23"/>
        <v>29.99999999998937</v>
      </c>
      <c r="E59" s="464">
        <f t="shared" ca="1" si="23"/>
        <v>29.999999999960906</v>
      </c>
      <c r="F59" s="464">
        <f t="shared" ca="1" si="23"/>
        <v>29.999999999785068</v>
      </c>
      <c r="G59" s="464">
        <f t="shared" ca="1" si="23"/>
        <v>29.999999999223153</v>
      </c>
      <c r="H59" s="464">
        <f t="shared" ca="1" si="23"/>
        <v>30.000000001029509</v>
      </c>
      <c r="I59" s="464">
        <f t="shared" ca="1" si="23"/>
        <v>30.000000000953204</v>
      </c>
      <c r="J59" s="464">
        <f t="shared" ca="1" si="23"/>
        <v>30.000000000000018</v>
      </c>
      <c r="K59" s="464">
        <f t="shared" ca="1" si="23"/>
        <v>30.000000000000014</v>
      </c>
      <c r="L59" s="464">
        <f t="shared" ca="1" si="23"/>
        <v>29.999999999999996</v>
      </c>
    </row>
    <row r="60" spans="1:14" x14ac:dyDescent="0.2">
      <c r="A60" t="s">
        <v>677</v>
      </c>
      <c r="B60" t="s">
        <v>548</v>
      </c>
      <c r="C60" s="20">
        <f t="shared" ref="C60:L60" ca="1" si="24">C50*(C63+2*C68/10)/100*C57/(C46*10^-12*C44/1000000*C62/100)/1000</f>
        <v>53.170521549430511</v>
      </c>
      <c r="D60" s="20">
        <f t="shared" ca="1" si="24"/>
        <v>78.308998722211129</v>
      </c>
      <c r="E60" s="20">
        <f t="shared" ca="1" si="24"/>
        <v>111.99672449844233</v>
      </c>
      <c r="F60" s="20">
        <f t="shared" ca="1" si="24"/>
        <v>148.73580937514015</v>
      </c>
      <c r="G60" s="20">
        <f t="shared" ca="1" si="24"/>
        <v>197.09703077908614</v>
      </c>
      <c r="H60" s="20">
        <f t="shared" ca="1" si="24"/>
        <v>214.03625426891136</v>
      </c>
      <c r="I60" s="20">
        <f t="shared" ca="1" si="24"/>
        <v>208.43054666550447</v>
      </c>
      <c r="J60" s="20">
        <f t="shared" ca="1" si="24"/>
        <v>228.69551371179503</v>
      </c>
      <c r="K60" s="20">
        <f t="shared" ca="1" si="24"/>
        <v>224.43864963437025</v>
      </c>
      <c r="L60" s="20">
        <f t="shared" ca="1" si="24"/>
        <v>220.77330529100112</v>
      </c>
    </row>
    <row r="61" spans="1:14" x14ac:dyDescent="0.2">
      <c r="A61" t="s">
        <v>682</v>
      </c>
      <c r="B61" t="s">
        <v>560</v>
      </c>
      <c r="C61" s="20">
        <f ca="1">'Iterative I-V'!C137*(C63+2*C68/10)/C63</f>
        <v>1297.1938397797912</v>
      </c>
      <c r="D61" s="464">
        <f ca="1">'Iterative I-V'!D137*(D63+2*D68/10)/D63</f>
        <v>746.4889444945477</v>
      </c>
      <c r="E61" s="464">
        <f ca="1">'Iterative I-V'!E137*(E63+2*E68/10)/E63</f>
        <v>449.32427207955169</v>
      </c>
      <c r="F61" s="464">
        <f ca="1">'Iterative I-V'!F137*(F63+2*F68/10)/F63</f>
        <v>287.57086398475229</v>
      </c>
      <c r="G61" s="464">
        <f ca="1">'Iterative I-V'!G137*(G63+2*G68/10)/G63</f>
        <v>196.56557060264507</v>
      </c>
      <c r="H61" s="464">
        <f ca="1">'Iterative I-V'!H137*(H63+2*H68/10)/H63</f>
        <v>156.92499968192513</v>
      </c>
      <c r="I61" s="464">
        <f ca="1">'Iterative I-V'!I137*(I63+2*I68/10)/I63</f>
        <v>154.11109962094787</v>
      </c>
      <c r="J61" s="464">
        <f ca="1">'Iterative I-V'!J137*(J63+2*J68/10)/J63</f>
        <v>149.94450315236099</v>
      </c>
      <c r="K61" s="464">
        <f ca="1">'Iterative I-V'!K137*(K63+2*K68/10)/K63</f>
        <v>147.80920122171111</v>
      </c>
      <c r="L61" s="464">
        <f ca="1">'Iterative I-V'!L137*(L63+2*L68/10)/L63</f>
        <v>145.98460957551501</v>
      </c>
    </row>
    <row r="62" spans="1:14" x14ac:dyDescent="0.2">
      <c r="A62" t="s">
        <v>683</v>
      </c>
      <c r="B62" t="s">
        <v>684</v>
      </c>
      <c r="C62" s="20">
        <f ca="1">SQRT('Iterative I-V'!C135/C43)</f>
        <v>22.205022920937825</v>
      </c>
      <c r="D62" s="464">
        <f ca="1">SQRT('Iterative I-V'!D135/D43)</f>
        <v>22.176195914670114</v>
      </c>
      <c r="E62" s="464">
        <f ca="1">SQRT('Iterative I-V'!E135/E43)</f>
        <v>22.212523771665747</v>
      </c>
      <c r="F62" s="464">
        <f ca="1">SQRT('Iterative I-V'!F135/F43)</f>
        <v>21.752068633478888</v>
      </c>
      <c r="G62" s="464">
        <f ca="1">SQRT('Iterative I-V'!G135/G43)</f>
        <v>22.03292969939432</v>
      </c>
      <c r="H62" s="464">
        <f ca="1">SQRT('Iterative I-V'!H135/H43)</f>
        <v>21.019405392599012</v>
      </c>
      <c r="I62" s="464">
        <f ca="1">SQRT('Iterative I-V'!I135/I43)</f>
        <v>20.824845086186894</v>
      </c>
      <c r="J62" s="464">
        <f ca="1">SQRT('Iterative I-V'!J135/J43)</f>
        <v>22.225438351665844</v>
      </c>
      <c r="K62" s="464">
        <f ca="1">SQRT('Iterative I-V'!K135/K43)</f>
        <v>22.06244455328995</v>
      </c>
      <c r="L62" s="464">
        <f ca="1">SQRT('Iterative I-V'!L135/L43)</f>
        <v>21.922233580853792</v>
      </c>
    </row>
    <row r="63" spans="1:14" x14ac:dyDescent="0.2">
      <c r="A63" t="s">
        <v>685</v>
      </c>
      <c r="B63" t="s">
        <v>684</v>
      </c>
      <c r="C63" s="20">
        <f ca="1">'Iterative I-V'!C135/C62</f>
        <v>22.205022920937825</v>
      </c>
      <c r="D63" s="464">
        <f ca="1">'Iterative I-V'!D135/D62</f>
        <v>22.176195914670117</v>
      </c>
      <c r="E63" s="464">
        <f ca="1">'Iterative I-V'!E135/E62</f>
        <v>22.212523771665744</v>
      </c>
      <c r="F63" s="464">
        <f ca="1">'Iterative I-V'!F135/F62</f>
        <v>21.752068633478888</v>
      </c>
      <c r="G63" s="464">
        <f ca="1">'Iterative I-V'!G135/G62</f>
        <v>22.032929699394323</v>
      </c>
      <c r="H63" s="464">
        <f ca="1">'Iterative I-V'!H135/H62</f>
        <v>21.019405392599008</v>
      </c>
      <c r="I63" s="464">
        <f ca="1">'Iterative I-V'!I135/I62</f>
        <v>20.824845086186897</v>
      </c>
      <c r="J63" s="464">
        <f ca="1">'Iterative I-V'!J135/J62</f>
        <v>22.22543835166584</v>
      </c>
      <c r="K63" s="464">
        <f ca="1">'Iterative I-V'!K135/K62</f>
        <v>22.06244455328995</v>
      </c>
      <c r="L63" s="464">
        <f ca="1">'Iterative I-V'!L135/L62</f>
        <v>21.922233580853796</v>
      </c>
    </row>
    <row r="64" spans="1:14" x14ac:dyDescent="0.2">
      <c r="A64" t="s">
        <v>686</v>
      </c>
      <c r="C64" s="20">
        <f t="shared" ref="C64:L64" ca="1" si="25">IF(C49="stamped",(4*C44+4*C44+2*C36)/(4*C44+2*C36),1)</f>
        <v>1.604900679743801</v>
      </c>
      <c r="D64" s="464">
        <f t="shared" ca="1" si="25"/>
        <v>1.6431085141980157</v>
      </c>
      <c r="E64" s="464">
        <f t="shared" ca="1" si="25"/>
        <v>1.6773928945758634</v>
      </c>
      <c r="F64" s="464">
        <f t="shared" ca="1" si="25"/>
        <v>1.7036341214031454</v>
      </c>
      <c r="G64" s="464">
        <f t="shared" ca="1" si="25"/>
        <v>1.7286803771806016</v>
      </c>
      <c r="H64" s="464">
        <f t="shared" ca="1" si="25"/>
        <v>1.7358083723404101</v>
      </c>
      <c r="I64" s="464">
        <f t="shared" ca="1" si="25"/>
        <v>1.7335246587266366</v>
      </c>
      <c r="J64" s="464">
        <f t="shared" ca="1" si="25"/>
        <v>1.7414636518697424</v>
      </c>
      <c r="K64" s="464">
        <f t="shared" ca="1" si="25"/>
        <v>1.739866275892433</v>
      </c>
      <c r="L64" s="464">
        <f t="shared" ca="1" si="25"/>
        <v>1.7384620849764294</v>
      </c>
      <c r="N64" s="482"/>
    </row>
    <row r="65" spans="1:14" x14ac:dyDescent="0.2">
      <c r="C65" s="20"/>
      <c r="D65" s="464"/>
      <c r="E65" s="464"/>
      <c r="F65" s="464"/>
      <c r="G65" s="464"/>
      <c r="H65" s="464"/>
      <c r="I65" s="464"/>
      <c r="J65" s="464"/>
      <c r="K65" s="464"/>
      <c r="L65" s="464"/>
    </row>
    <row r="66" spans="1:14" ht="18.75" x14ac:dyDescent="0.3">
      <c r="A66" s="363" t="s">
        <v>585</v>
      </c>
      <c r="E66" s="256"/>
      <c r="F66" s="256"/>
      <c r="G66" s="256"/>
      <c r="H66" s="256"/>
      <c r="I66" s="256"/>
      <c r="J66" s="256"/>
      <c r="K66" s="256"/>
      <c r="L66" s="256"/>
    </row>
    <row r="67" spans="1:14" ht="15" x14ac:dyDescent="0.25">
      <c r="A67" s="364" t="s">
        <v>614</v>
      </c>
      <c r="E67" s="256"/>
      <c r="F67" s="256"/>
      <c r="G67" s="256"/>
      <c r="H67" s="256"/>
      <c r="I67" s="256"/>
      <c r="J67" s="256"/>
      <c r="K67" s="256"/>
      <c r="L67" s="256"/>
    </row>
    <row r="68" spans="1:14" x14ac:dyDescent="0.2">
      <c r="A68" t="s">
        <v>586</v>
      </c>
      <c r="B68" t="s">
        <v>587</v>
      </c>
      <c r="C68" s="256">
        <v>6</v>
      </c>
      <c r="D68" s="256">
        <v>6</v>
      </c>
      <c r="E68" s="256">
        <v>6</v>
      </c>
      <c r="F68" s="256">
        <v>6</v>
      </c>
      <c r="G68" s="256">
        <v>6</v>
      </c>
      <c r="H68" s="256">
        <v>6</v>
      </c>
      <c r="I68" s="256">
        <v>6</v>
      </c>
      <c r="J68" s="256">
        <v>6</v>
      </c>
      <c r="K68" s="256">
        <v>6</v>
      </c>
      <c r="L68" s="256">
        <v>6</v>
      </c>
    </row>
    <row r="69" spans="1:14" x14ac:dyDescent="0.2">
      <c r="A69" t="s">
        <v>650</v>
      </c>
      <c r="B69" t="s">
        <v>587</v>
      </c>
      <c r="C69" s="256">
        <v>12</v>
      </c>
      <c r="D69" s="256">
        <v>12</v>
      </c>
      <c r="E69" s="256">
        <v>12</v>
      </c>
      <c r="F69" s="256">
        <v>12</v>
      </c>
      <c r="G69" s="256">
        <v>12</v>
      </c>
      <c r="H69" s="256">
        <v>12</v>
      </c>
      <c r="I69" s="256">
        <v>12</v>
      </c>
      <c r="J69" s="256">
        <v>12</v>
      </c>
      <c r="K69" s="256">
        <v>12</v>
      </c>
      <c r="L69" s="256">
        <v>12</v>
      </c>
    </row>
    <row r="70" spans="1:14" x14ac:dyDescent="0.2">
      <c r="A70" s="252" t="s">
        <v>803</v>
      </c>
      <c r="B70" s="252" t="s">
        <v>587</v>
      </c>
      <c r="C70" s="256">
        <v>15</v>
      </c>
      <c r="D70" s="256">
        <v>15</v>
      </c>
      <c r="E70" s="256">
        <v>15</v>
      </c>
      <c r="F70" s="256">
        <v>15</v>
      </c>
      <c r="G70" s="256">
        <v>15</v>
      </c>
      <c r="H70" s="256">
        <v>15</v>
      </c>
      <c r="I70" s="256">
        <v>15</v>
      </c>
      <c r="J70" s="256">
        <v>15</v>
      </c>
      <c r="K70" s="256">
        <v>15</v>
      </c>
      <c r="L70" s="256">
        <v>15</v>
      </c>
    </row>
    <row r="71" spans="1:14" x14ac:dyDescent="0.2">
      <c r="A71" t="s">
        <v>784</v>
      </c>
      <c r="B71" t="s">
        <v>587</v>
      </c>
      <c r="C71" s="256">
        <v>0.1</v>
      </c>
      <c r="D71" s="256">
        <v>0.1</v>
      </c>
      <c r="E71" s="256">
        <v>0.1</v>
      </c>
      <c r="F71" s="256">
        <v>0.1</v>
      </c>
      <c r="G71" s="256">
        <v>0.1</v>
      </c>
      <c r="H71" s="256">
        <v>0.1</v>
      </c>
      <c r="I71" s="256">
        <v>0.1</v>
      </c>
      <c r="J71" s="256">
        <v>0.1</v>
      </c>
      <c r="K71" s="256">
        <v>0.1</v>
      </c>
      <c r="L71" s="256">
        <v>0.1</v>
      </c>
    </row>
    <row r="72" spans="1:14" x14ac:dyDescent="0.2">
      <c r="A72" t="s">
        <v>687</v>
      </c>
      <c r="B72" t="s">
        <v>587</v>
      </c>
      <c r="C72" s="256">
        <v>50</v>
      </c>
      <c r="D72" s="256">
        <v>50</v>
      </c>
      <c r="E72" s="256">
        <v>50</v>
      </c>
      <c r="F72" s="256">
        <v>50</v>
      </c>
      <c r="G72" s="256">
        <v>50</v>
      </c>
      <c r="H72" s="256">
        <v>50</v>
      </c>
      <c r="I72" s="256">
        <v>50</v>
      </c>
      <c r="J72" s="256">
        <v>50</v>
      </c>
      <c r="K72" s="256">
        <v>50</v>
      </c>
      <c r="L72" s="256">
        <v>50</v>
      </c>
    </row>
    <row r="73" spans="1:14" x14ac:dyDescent="0.2">
      <c r="A73" t="s">
        <v>688</v>
      </c>
      <c r="B73" t="s">
        <v>587</v>
      </c>
      <c r="C73" s="256">
        <v>20</v>
      </c>
      <c r="D73" s="256">
        <v>20</v>
      </c>
      <c r="E73" s="256">
        <v>20</v>
      </c>
      <c r="F73" s="256">
        <v>20</v>
      </c>
      <c r="G73" s="256">
        <v>20</v>
      </c>
      <c r="H73" s="256">
        <v>20</v>
      </c>
      <c r="I73" s="256">
        <v>20</v>
      </c>
      <c r="J73" s="256">
        <v>20</v>
      </c>
      <c r="K73" s="256">
        <v>20</v>
      </c>
      <c r="L73" s="256">
        <v>20</v>
      </c>
    </row>
    <row r="74" spans="1:14" x14ac:dyDescent="0.2">
      <c r="E74" s="256"/>
      <c r="F74" s="256"/>
      <c r="G74" s="256"/>
      <c r="H74" s="256"/>
      <c r="I74" s="256"/>
      <c r="J74" s="256"/>
      <c r="K74" s="256"/>
      <c r="L74" s="256"/>
    </row>
    <row r="75" spans="1:14" ht="15" x14ac:dyDescent="0.25">
      <c r="A75" s="368" t="s">
        <v>654</v>
      </c>
      <c r="E75" s="256"/>
      <c r="F75" s="256"/>
      <c r="G75" s="256"/>
      <c r="H75" s="256"/>
      <c r="I75" s="256"/>
      <c r="J75" s="256"/>
      <c r="K75" s="256"/>
      <c r="L75" s="256"/>
    </row>
    <row r="76" spans="1:14" x14ac:dyDescent="0.2">
      <c r="A76" t="s">
        <v>594</v>
      </c>
      <c r="B76" t="s">
        <v>587</v>
      </c>
      <c r="C76" s="20">
        <f ca="1">('Iterative I-V'!C133+'Iterative I-V'!C38*10^4+'Iterative I-V'!C132+C35/2+C36+C44)/1000</f>
        <v>0.11279759567858202</v>
      </c>
      <c r="D76" s="464">
        <f ca="1">('Iterative I-V'!D133+'Iterative I-V'!D38*10^4+'Iterative I-V'!D132+D35/2+D36+D44)/1000</f>
        <v>0.15471475725867009</v>
      </c>
      <c r="E76" s="464">
        <f ca="1">('Iterative I-V'!E133+'Iterative I-V'!E38*10^4+'Iterative I-V'!E132+E35/2+E36+E44)/1000</f>
        <v>0.21836922250908428</v>
      </c>
      <c r="F76" s="464">
        <f ca="1">('Iterative I-V'!F133+'Iterative I-V'!F38*10^4+'Iterative I-V'!F132+F35/2+F36+F44)/1000</f>
        <v>0.30633922104698552</v>
      </c>
      <c r="G76" s="464">
        <f ca="1">('Iterative I-V'!G133+'Iterative I-V'!G38*10^4+'Iterative I-V'!G132+G35/2+G36+G44)/1000</f>
        <v>0.421918611836756</v>
      </c>
      <c r="H76" s="464">
        <f ca="1">('Iterative I-V'!H133+'Iterative I-V'!H38*10^4+'Iterative I-V'!H132+H35/2+H36+H44)/1000</f>
        <v>0.50918077602571354</v>
      </c>
      <c r="I76" s="464">
        <f ca="1">('Iterative I-V'!I133+'Iterative I-V'!I38*10^4+'Iterative I-V'!I132+I35/2+I36+I44)/1000</f>
        <v>0.50885638744076533</v>
      </c>
      <c r="J76" s="464">
        <f ca="1">('Iterative I-V'!J133+'Iterative I-V'!J38*10^4+'Iterative I-V'!J132+J35/2+J36+J44)/1000</f>
        <v>0.51000874376533001</v>
      </c>
      <c r="K76" s="464">
        <f ca="1">('Iterative I-V'!K133+'Iterative I-V'!K38*10^4+'Iterative I-V'!K132+K35/2+K36+K44)/1000</f>
        <v>0.50977122994761059</v>
      </c>
      <c r="L76" s="464">
        <f ca="1">('Iterative I-V'!L133+'Iterative I-V'!L38*10^4+'Iterative I-V'!L132+L35/2+L36+L44)/1000</f>
        <v>0.50956483700472743</v>
      </c>
    </row>
    <row r="77" spans="1:14" x14ac:dyDescent="0.2">
      <c r="A77" t="s">
        <v>595</v>
      </c>
      <c r="B77" t="s">
        <v>767</v>
      </c>
      <c r="C77" s="20">
        <f ca="1">(C98+C99)*C3*(C18+273)/(C16*1000)</f>
        <v>1.1515425573421374E-2</v>
      </c>
      <c r="D77" s="464">
        <f t="shared" ref="D77:L77" ca="1" si="26">(D98+D99)*D3*(D18+273)/(D16*1000)</f>
        <v>1.1515425573417623E-2</v>
      </c>
      <c r="E77" s="464">
        <f t="shared" ca="1" si="26"/>
        <v>1.1515425573434847E-2</v>
      </c>
      <c r="F77" s="464">
        <f t="shared" ca="1" si="26"/>
        <v>1.1515425573550288E-2</v>
      </c>
      <c r="G77" s="464">
        <f t="shared" ca="1" si="26"/>
        <v>1.1515425573937249E-2</v>
      </c>
      <c r="H77" s="464">
        <f t="shared" ca="1" si="26"/>
        <v>1.1318915921635765E-2</v>
      </c>
      <c r="I77" s="464">
        <f t="shared" ca="1" si="26"/>
        <v>1.0888593862691243E-2</v>
      </c>
      <c r="J77" s="464">
        <f t="shared" ca="1" si="26"/>
        <v>1.0705958214260991E-2</v>
      </c>
      <c r="K77" s="464">
        <f t="shared" ca="1" si="26"/>
        <v>1.0415725722227889E-2</v>
      </c>
      <c r="L77" s="464">
        <f t="shared" ca="1" si="26"/>
        <v>1.0167920816091216E-2</v>
      </c>
      <c r="N77" s="482"/>
    </row>
    <row r="78" spans="1:14" x14ac:dyDescent="0.2">
      <c r="A78" t="s">
        <v>113</v>
      </c>
      <c r="B78" t="s">
        <v>596</v>
      </c>
      <c r="C78" s="20">
        <f t="shared" ref="C78:L78" ca="1" si="27">C100/1000/C77</f>
        <v>3.4345026997287174</v>
      </c>
      <c r="D78" s="20">
        <f t="shared" ca="1" si="27"/>
        <v>3.4345026997287182</v>
      </c>
      <c r="E78" s="20">
        <f t="shared" ca="1" si="27"/>
        <v>3.4345026997287174</v>
      </c>
      <c r="F78" s="20">
        <f t="shared" ca="1" si="27"/>
        <v>3.4345026997287174</v>
      </c>
      <c r="G78" s="20">
        <f t="shared" ca="1" si="27"/>
        <v>3.4345026997287174</v>
      </c>
      <c r="H78" s="20">
        <f t="shared" ca="1" si="27"/>
        <v>3.4345026997287174</v>
      </c>
      <c r="I78" s="20">
        <f t="shared" ca="1" si="27"/>
        <v>3.4345026997287174</v>
      </c>
      <c r="J78" s="20">
        <f t="shared" ca="1" si="27"/>
        <v>3.4345026997287165</v>
      </c>
      <c r="K78" s="20">
        <f t="shared" ca="1" si="27"/>
        <v>3.4345026997287165</v>
      </c>
      <c r="L78" s="20">
        <f t="shared" ca="1" si="27"/>
        <v>3.4345026997287169</v>
      </c>
    </row>
    <row r="79" spans="1:14" x14ac:dyDescent="0.2">
      <c r="A79" t="s">
        <v>597</v>
      </c>
      <c r="B79" t="s">
        <v>569</v>
      </c>
      <c r="C79" s="20">
        <f t="shared" ref="C79:L79" ca="1" si="28">C72/10*C87/4</f>
        <v>30.281278651072014</v>
      </c>
      <c r="D79" s="20">
        <f t="shared" ca="1" si="28"/>
        <v>30.245244893337325</v>
      </c>
      <c r="E79" s="20">
        <f t="shared" ca="1" si="28"/>
        <v>30.290654714582463</v>
      </c>
      <c r="F79" s="20">
        <f t="shared" ca="1" si="28"/>
        <v>29.71508579184885</v>
      </c>
      <c r="G79" s="20">
        <f t="shared" ca="1" si="28"/>
        <v>30.066162124247132</v>
      </c>
      <c r="H79" s="20">
        <f t="shared" ca="1" si="28"/>
        <v>28.799256740748756</v>
      </c>
      <c r="I79" s="20">
        <f t="shared" ca="1" si="28"/>
        <v>28.55605635773361</v>
      </c>
      <c r="J79" s="20">
        <f t="shared" ca="1" si="28"/>
        <v>30.306797939582303</v>
      </c>
      <c r="K79" s="20">
        <f t="shared" ca="1" si="28"/>
        <v>30.103055691612436</v>
      </c>
      <c r="L79" s="20">
        <f t="shared" ca="1" si="28"/>
        <v>29.92779197606724</v>
      </c>
    </row>
    <row r="80" spans="1:14" x14ac:dyDescent="0.2">
      <c r="A80" t="s">
        <v>598</v>
      </c>
      <c r="B80" t="s">
        <v>599</v>
      </c>
      <c r="C80" s="20">
        <f ca="1">C77/(C79/10000)</f>
        <v>3.8028201206799785</v>
      </c>
      <c r="D80" s="20">
        <f t="shared" ref="D80:L80" ca="1" si="29">D77/(D79/10000)</f>
        <v>3.8073507468786727</v>
      </c>
      <c r="E80" s="20">
        <f t="shared" ca="1" si="29"/>
        <v>3.8016430090205731</v>
      </c>
      <c r="F80" s="20">
        <f t="shared" ca="1" si="29"/>
        <v>3.8752792619259702</v>
      </c>
      <c r="G80" s="20">
        <f t="shared" ca="1" si="29"/>
        <v>3.8300284307489076</v>
      </c>
      <c r="H80" s="20">
        <f t="shared" ca="1" si="29"/>
        <v>3.9302805706163801</v>
      </c>
      <c r="I80" s="20">
        <f t="shared" ca="1" si="29"/>
        <v>3.8130593826701049</v>
      </c>
      <c r="J80" s="20">
        <f t="shared" ca="1" si="29"/>
        <v>3.5325270045366404</v>
      </c>
      <c r="K80" s="20">
        <f t="shared" ca="1" si="29"/>
        <v>3.4600227395287333</v>
      </c>
      <c r="L80" s="20">
        <f t="shared" ca="1" si="29"/>
        <v>3.3974844600037093</v>
      </c>
    </row>
    <row r="81" spans="1:13" x14ac:dyDescent="0.2">
      <c r="A81" t="s">
        <v>600</v>
      </c>
      <c r="B81" t="s">
        <v>548</v>
      </c>
      <c r="C81" s="20">
        <f ca="1">0.5*C78*C80^2/1000</f>
        <v>2.4833928855417822E-2</v>
      </c>
      <c r="D81" s="20">
        <f t="shared" ref="D81:L81" ca="1" si="30">0.5*D78*D80^2/1000</f>
        <v>2.4893137689106584E-2</v>
      </c>
      <c r="E81" s="20">
        <f t="shared" ca="1" si="30"/>
        <v>2.4818557219608659E-2</v>
      </c>
      <c r="F81" s="20">
        <f t="shared" ca="1" si="30"/>
        <v>2.5789319046855542E-2</v>
      </c>
      <c r="G81" s="20">
        <f t="shared" ca="1" si="30"/>
        <v>2.5190562309616613E-2</v>
      </c>
      <c r="H81" s="20">
        <f t="shared" ca="1" si="30"/>
        <v>2.6526562537421767E-2</v>
      </c>
      <c r="I81" s="20">
        <f t="shared" ca="1" si="30"/>
        <v>2.4967841808065851E-2</v>
      </c>
      <c r="J81" s="20">
        <f t="shared" ca="1" si="30"/>
        <v>2.1429145195244612E-2</v>
      </c>
      <c r="K81" s="20">
        <f t="shared" ca="1" si="30"/>
        <v>2.0558516483370096E-2</v>
      </c>
      <c r="L81" s="20">
        <f t="shared" ca="1" si="30"/>
        <v>1.9822061732808996E-2</v>
      </c>
    </row>
    <row r="82" spans="1:13" x14ac:dyDescent="0.2">
      <c r="C82" s="20"/>
      <c r="D82" s="20"/>
      <c r="E82" s="20"/>
      <c r="F82" s="20"/>
      <c r="G82" s="20"/>
      <c r="H82" s="20"/>
      <c r="I82" s="20"/>
      <c r="J82" s="20"/>
      <c r="K82" s="20"/>
      <c r="L82" s="20"/>
    </row>
    <row r="83" spans="1:13" x14ac:dyDescent="0.2">
      <c r="A83" s="374" t="s">
        <v>602</v>
      </c>
      <c r="B83" s="374" t="s">
        <v>587</v>
      </c>
      <c r="C83" s="375">
        <v>3</v>
      </c>
      <c r="D83" s="375">
        <v>3</v>
      </c>
      <c r="E83" s="375">
        <v>3</v>
      </c>
      <c r="F83" s="375">
        <v>3</v>
      </c>
      <c r="G83" s="375">
        <v>3</v>
      </c>
      <c r="H83" s="375">
        <v>3</v>
      </c>
      <c r="I83" s="375">
        <v>3</v>
      </c>
      <c r="J83" s="375">
        <v>3</v>
      </c>
      <c r="K83" s="375">
        <v>3</v>
      </c>
      <c r="L83" s="375">
        <v>3</v>
      </c>
      <c r="M83" s="252"/>
    </row>
    <row r="84" spans="1:13" x14ac:dyDescent="0.2">
      <c r="A84" s="374" t="s">
        <v>600</v>
      </c>
      <c r="B84" s="374" t="s">
        <v>548</v>
      </c>
      <c r="C84" s="375">
        <f t="shared" ref="C84:L84" ca="1" si="31">0.5*C78/1000*((C77)/(C83/10*C63/10000))^2</f>
        <v>0.51315538517096582</v>
      </c>
      <c r="D84" s="375">
        <f t="shared" ca="1" si="31"/>
        <v>0.51449036148082938</v>
      </c>
      <c r="E84" s="375">
        <f t="shared" ca="1" si="31"/>
        <v>0.51280887325927438</v>
      </c>
      <c r="F84" s="375">
        <f t="shared" ca="1" si="31"/>
        <v>0.53474928515424369</v>
      </c>
      <c r="G84" s="375">
        <f t="shared" ca="1" si="31"/>
        <v>0.52120292583004224</v>
      </c>
      <c r="H84" s="375">
        <f t="shared" ca="1" si="31"/>
        <v>0.55329936553401071</v>
      </c>
      <c r="I84" s="375">
        <f t="shared" ca="1" si="31"/>
        <v>0.5216406129797414</v>
      </c>
      <c r="J84" s="375">
        <f t="shared" ca="1" si="31"/>
        <v>0.44273287781874043</v>
      </c>
      <c r="K84" s="375">
        <f t="shared" ca="1" si="31"/>
        <v>0.42526845030667287</v>
      </c>
      <c r="L84" s="375">
        <f t="shared" ca="1" si="31"/>
        <v>0.41047439005845371</v>
      </c>
      <c r="M84" s="252"/>
    </row>
    <row r="85" spans="1:13" x14ac:dyDescent="0.2">
      <c r="A85" s="374" t="s">
        <v>601</v>
      </c>
      <c r="B85" s="374" t="s">
        <v>619</v>
      </c>
      <c r="C85" s="376">
        <f t="shared" ref="C85:L85" ca="1" si="32">IF(C49="stamped",C84/C59*100,C84/C60*100)</f>
        <v>1.7105179505633894</v>
      </c>
      <c r="D85" s="376">
        <f t="shared" ca="1" si="32"/>
        <v>1.7149678716033723</v>
      </c>
      <c r="E85" s="376">
        <f t="shared" ca="1" si="32"/>
        <v>1.7093629108664754</v>
      </c>
      <c r="F85" s="376">
        <f t="shared" ca="1" si="32"/>
        <v>1.7824976171935829</v>
      </c>
      <c r="G85" s="376">
        <f t="shared" ca="1" si="32"/>
        <v>1.7373430861451291</v>
      </c>
      <c r="H85" s="376">
        <f t="shared" ca="1" si="32"/>
        <v>1.8443312183834104</v>
      </c>
      <c r="I85" s="376">
        <f t="shared" ca="1" si="32"/>
        <v>1.7388020432105571</v>
      </c>
      <c r="J85" s="376">
        <f t="shared" ca="1" si="32"/>
        <v>1.4757762593958006</v>
      </c>
      <c r="K85" s="376">
        <f t="shared" ca="1" si="32"/>
        <v>1.4175615010222422</v>
      </c>
      <c r="L85" s="376">
        <f t="shared" ca="1" si="32"/>
        <v>1.3682479668615126</v>
      </c>
      <c r="M85" s="252"/>
    </row>
    <row r="87" spans="1:13" ht="15" x14ac:dyDescent="0.25">
      <c r="A87" s="367" t="s">
        <v>683</v>
      </c>
      <c r="B87" t="s">
        <v>684</v>
      </c>
      <c r="C87" s="20">
        <f t="shared" ref="C87:L87" ca="1" si="33">C62+(2*C71+C73)/10</f>
        <v>24.225022920937825</v>
      </c>
      <c r="D87" s="20">
        <f t="shared" ca="1" si="33"/>
        <v>24.196195914670113</v>
      </c>
      <c r="E87" s="20">
        <f t="shared" ca="1" si="33"/>
        <v>24.232523771665747</v>
      </c>
      <c r="F87" s="20">
        <f t="shared" ca="1" si="33"/>
        <v>23.772068633478888</v>
      </c>
      <c r="G87" s="20">
        <f t="shared" ca="1" si="33"/>
        <v>24.052929699394319</v>
      </c>
      <c r="H87" s="20">
        <f t="shared" ca="1" si="33"/>
        <v>23.039405392599011</v>
      </c>
      <c r="I87" s="20">
        <f t="shared" ca="1" si="33"/>
        <v>22.844845086186893</v>
      </c>
      <c r="J87" s="20">
        <f t="shared" ca="1" si="33"/>
        <v>24.245438351665843</v>
      </c>
      <c r="K87" s="20">
        <f t="shared" ca="1" si="33"/>
        <v>24.08244455328995</v>
      </c>
      <c r="L87" s="20">
        <f t="shared" ca="1" si="33"/>
        <v>23.942233580853792</v>
      </c>
    </row>
    <row r="88" spans="1:13" ht="15" x14ac:dyDescent="0.25">
      <c r="A88" s="367" t="s">
        <v>685</v>
      </c>
      <c r="B88" t="s">
        <v>684</v>
      </c>
      <c r="C88" s="20">
        <f t="shared" ref="C88:L88" ca="1" si="34">C63+(2*C68+2*C71+C70+C72)/10</f>
        <v>29.925022920937828</v>
      </c>
      <c r="D88" s="20">
        <f t="shared" ca="1" si="34"/>
        <v>29.896195914670116</v>
      </c>
      <c r="E88" s="20">
        <f t="shared" ca="1" si="34"/>
        <v>29.932523771665743</v>
      </c>
      <c r="F88" s="20">
        <f t="shared" ca="1" si="34"/>
        <v>29.472068633478891</v>
      </c>
      <c r="G88" s="20">
        <f t="shared" ca="1" si="34"/>
        <v>29.752929699394322</v>
      </c>
      <c r="H88" s="20">
        <f t="shared" ca="1" si="34"/>
        <v>28.739405392599011</v>
      </c>
      <c r="I88" s="20">
        <f t="shared" ca="1" si="34"/>
        <v>28.544845086186896</v>
      </c>
      <c r="J88" s="20">
        <f t="shared" ca="1" si="34"/>
        <v>29.945438351665842</v>
      </c>
      <c r="K88" s="20">
        <f t="shared" ca="1" si="34"/>
        <v>29.782444553289949</v>
      </c>
      <c r="L88" s="20">
        <f t="shared" ca="1" si="34"/>
        <v>29.642233580853798</v>
      </c>
    </row>
    <row r="89" spans="1:13" ht="15" x14ac:dyDescent="0.25">
      <c r="A89" s="367" t="s">
        <v>603</v>
      </c>
      <c r="B89" t="s">
        <v>684</v>
      </c>
      <c r="C89" s="20">
        <f ca="1">'Iterative I-V'!C136*'Iterative I-V'!C6*C76/10</f>
        <v>281.54279881374072</v>
      </c>
      <c r="D89" s="464">
        <f ca="1">'Iterative I-V'!D136*'Iterative I-V'!D6*D76/10</f>
        <v>222.78925045248494</v>
      </c>
      <c r="E89" s="464">
        <f ca="1">'Iterative I-V'!E136*'Iterative I-V'!E6*E76/10</f>
        <v>188.67100824784882</v>
      </c>
      <c r="F89" s="464">
        <f ca="1">'Iterative I-V'!F136*'Iterative I-V'!F6*F76/10</f>
        <v>176.45139132306366</v>
      </c>
      <c r="G89" s="464">
        <f ca="1">'Iterative I-V'!G136*'Iterative I-V'!G6*G76/10</f>
        <v>162.01674694531431</v>
      </c>
      <c r="H89" s="464">
        <f ca="1">'Iterative I-V'!H136*'Iterative I-V'!H6*H76/10</f>
        <v>171.08474074463976</v>
      </c>
      <c r="I89" s="464">
        <f ca="1">'Iterative I-V'!I136*'Iterative I-V'!I6*I76/10</f>
        <v>170.97574618009713</v>
      </c>
      <c r="J89" s="464">
        <f ca="1">'Iterative I-V'!J136*'Iterative I-V'!J6*J76/10</f>
        <v>146.88251820441502</v>
      </c>
      <c r="K89" s="464">
        <f ca="1">'Iterative I-V'!K136*'Iterative I-V'!K6*K76/10</f>
        <v>146.81411422491186</v>
      </c>
      <c r="L89" s="464">
        <f ca="1">'Iterative I-V'!L136*'Iterative I-V'!L6*L76/10</f>
        <v>146.75467305736149</v>
      </c>
    </row>
    <row r="90" spans="1:13" ht="15" x14ac:dyDescent="0.25">
      <c r="A90" s="367"/>
      <c r="E90" s="256"/>
      <c r="F90" s="256"/>
      <c r="G90" s="256"/>
      <c r="H90" s="256"/>
      <c r="I90" s="256"/>
      <c r="J90" s="256"/>
      <c r="K90" s="256"/>
      <c r="L90" s="256"/>
    </row>
    <row r="91" spans="1:13" ht="18.75" x14ac:dyDescent="0.3">
      <c r="A91" s="363" t="s">
        <v>691</v>
      </c>
      <c r="E91" s="256"/>
      <c r="F91" s="256"/>
      <c r="G91" s="256"/>
      <c r="H91" s="256"/>
      <c r="I91" s="256"/>
      <c r="J91" s="256"/>
      <c r="K91" s="256"/>
      <c r="L91" s="256"/>
    </row>
    <row r="92" spans="1:13" ht="15" x14ac:dyDescent="0.25">
      <c r="A92" s="364" t="s">
        <v>614</v>
      </c>
      <c r="E92" s="256"/>
      <c r="F92" s="256"/>
      <c r="G92" s="256"/>
      <c r="H92" s="256"/>
      <c r="I92" s="256"/>
      <c r="J92" s="256"/>
      <c r="K92" s="256"/>
      <c r="L92" s="256"/>
    </row>
    <row r="93" spans="1:13" x14ac:dyDescent="0.2">
      <c r="A93" s="365" t="s">
        <v>692</v>
      </c>
      <c r="C93" s="256">
        <v>0.6</v>
      </c>
      <c r="D93" s="256">
        <v>0.6</v>
      </c>
      <c r="E93" s="256">
        <v>0.6</v>
      </c>
      <c r="F93" s="256">
        <v>0.6</v>
      </c>
      <c r="G93" s="256">
        <v>0.6</v>
      </c>
      <c r="H93" s="256">
        <v>0.6</v>
      </c>
      <c r="I93" s="256">
        <v>0.6</v>
      </c>
      <c r="J93" s="256">
        <v>0.6</v>
      </c>
      <c r="K93" s="256">
        <v>0.6</v>
      </c>
      <c r="L93" s="256">
        <v>0.6</v>
      </c>
    </row>
    <row r="94" spans="1:13" x14ac:dyDescent="0.2">
      <c r="A94" t="s">
        <v>693</v>
      </c>
      <c r="B94" t="s">
        <v>694</v>
      </c>
      <c r="C94" s="377">
        <v>1.1000000000000001</v>
      </c>
      <c r="D94" s="377">
        <v>1.1000000000000001</v>
      </c>
      <c r="E94" s="377">
        <v>1.1000000000000001</v>
      </c>
      <c r="F94" s="377">
        <v>1.1000000000000001</v>
      </c>
      <c r="G94" s="377">
        <v>1.1000000000000001</v>
      </c>
      <c r="H94" s="377">
        <v>1.1000000000000001</v>
      </c>
      <c r="I94" s="377">
        <v>1.1000000000000001</v>
      </c>
      <c r="J94" s="377">
        <v>1.1000000000000001</v>
      </c>
      <c r="K94" s="377">
        <v>1.1000000000000001</v>
      </c>
      <c r="L94" s="377">
        <v>1.1000000000000001</v>
      </c>
    </row>
    <row r="95" spans="1:13" x14ac:dyDescent="0.2">
      <c r="A95" t="s">
        <v>695</v>
      </c>
      <c r="C95" s="377">
        <v>1.4</v>
      </c>
      <c r="D95" s="377">
        <v>1.4</v>
      </c>
      <c r="E95" s="377">
        <v>1.4</v>
      </c>
      <c r="F95" s="377">
        <v>1.4</v>
      </c>
      <c r="G95" s="377">
        <v>1.4</v>
      </c>
      <c r="H95" s="377">
        <v>1.4</v>
      </c>
      <c r="I95" s="377">
        <v>1.4</v>
      </c>
      <c r="J95" s="377">
        <v>1.4</v>
      </c>
      <c r="K95" s="377">
        <v>1.4</v>
      </c>
      <c r="L95" s="377">
        <v>1.4</v>
      </c>
    </row>
    <row r="96" spans="1:13" x14ac:dyDescent="0.2">
      <c r="C96" s="20">
        <f t="shared" ref="C96:L96" si="35">(C95-1)/C95</f>
        <v>0.28571428571428564</v>
      </c>
      <c r="D96" s="20">
        <f t="shared" si="35"/>
        <v>0.28571428571428564</v>
      </c>
      <c r="E96" s="20">
        <f t="shared" si="35"/>
        <v>0.28571428571428564</v>
      </c>
      <c r="F96" s="20">
        <f t="shared" si="35"/>
        <v>0.28571428571428564</v>
      </c>
      <c r="G96" s="20">
        <f t="shared" si="35"/>
        <v>0.28571428571428564</v>
      </c>
      <c r="H96" s="20">
        <f t="shared" si="35"/>
        <v>0.28571428571428564</v>
      </c>
      <c r="I96" s="20">
        <f t="shared" si="35"/>
        <v>0.28571428571428564</v>
      </c>
      <c r="J96" s="20">
        <f t="shared" si="35"/>
        <v>0.28571428571428564</v>
      </c>
      <c r="K96" s="20">
        <f t="shared" si="35"/>
        <v>0.28571428571428564</v>
      </c>
      <c r="L96" s="20">
        <f t="shared" si="35"/>
        <v>0.28571428571428564</v>
      </c>
    </row>
    <row r="97" spans="1:12" ht="15" x14ac:dyDescent="0.25">
      <c r="A97" s="368" t="s">
        <v>654</v>
      </c>
      <c r="E97" s="256"/>
      <c r="F97" s="256"/>
      <c r="G97" s="256"/>
      <c r="H97" s="256"/>
      <c r="I97" s="256"/>
      <c r="J97" s="256"/>
      <c r="K97" s="256"/>
      <c r="L97" s="256"/>
    </row>
    <row r="98" spans="1:12" x14ac:dyDescent="0.2">
      <c r="A98" t="s">
        <v>696</v>
      </c>
      <c r="B98" t="s">
        <v>697</v>
      </c>
      <c r="C98" s="20">
        <f ca="1">C28*1000/'Iterative I-V'!C139*C19/(C5*C4)</f>
        <v>0.28798369092560949</v>
      </c>
      <c r="D98" s="464">
        <f ca="1">D28*1000/'Iterative I-V'!D139*D19/(D5*D4)</f>
        <v>0.28798369092540477</v>
      </c>
      <c r="E98" s="464">
        <f ca="1">E28*1000/'Iterative I-V'!E139*E19/(E5*E4)</f>
        <v>0.28798369092576315</v>
      </c>
      <c r="F98" s="464">
        <f ca="1">F28*1000/'Iterative I-V'!F139*F19/(F5*F4)</f>
        <v>0.28798369092822163</v>
      </c>
      <c r="G98" s="464">
        <f ca="1">G28*1000/'Iterative I-V'!G139*G19/(G5*G4)</f>
        <v>0.28798369093667903</v>
      </c>
      <c r="H98" s="464">
        <f ca="1">H28*1000/'Iterative I-V'!H139*H19/(H5*H4)</f>
        <v>0.28306927639197227</v>
      </c>
      <c r="I98" s="464">
        <f ca="1">I28*1000/'Iterative I-V'!I139*I19/(I5*I4)</f>
        <v>0.27230756081022761</v>
      </c>
      <c r="J98" s="464">
        <f ca="1">J28*1000/'Iterative I-V'!J139*J19/(J5*J4)</f>
        <v>0.2677401144907442</v>
      </c>
      <c r="K98" s="464">
        <f ca="1">K28*1000/'Iterative I-V'!K139*K19/(K5*K4)</f>
        <v>0.26048183091717614</v>
      </c>
      <c r="L98" s="464">
        <f ca="1">L28*1000/'Iterative I-V'!L139*L19/(L5*L4)</f>
        <v>0.25428459825359057</v>
      </c>
    </row>
    <row r="99" spans="1:12" x14ac:dyDescent="0.2">
      <c r="A99" t="s">
        <v>698</v>
      </c>
      <c r="B99" t="s">
        <v>697</v>
      </c>
      <c r="C99" s="20">
        <f t="shared" ref="C99:L99" ca="1" si="36">C98*(1-C6)/C6</f>
        <v>1.0833672182439595</v>
      </c>
      <c r="D99" s="20">
        <f t="shared" ca="1" si="36"/>
        <v>1.0833672182431895</v>
      </c>
      <c r="E99" s="20">
        <f t="shared" ca="1" si="36"/>
        <v>1.0833672182445375</v>
      </c>
      <c r="F99" s="20">
        <f t="shared" ca="1" si="36"/>
        <v>1.0833672182537861</v>
      </c>
      <c r="G99" s="20">
        <f t="shared" ca="1" si="36"/>
        <v>1.083367218285602</v>
      </c>
      <c r="H99" s="20">
        <f t="shared" ca="1" si="36"/>
        <v>1.0648796588078957</v>
      </c>
      <c r="I99" s="20">
        <f t="shared" ca="1" si="36"/>
        <v>1.024395109714666</v>
      </c>
      <c r="J99" s="20">
        <f t="shared" ca="1" si="36"/>
        <v>1.0072128116556569</v>
      </c>
      <c r="K99" s="20">
        <f t="shared" ca="1" si="36"/>
        <v>0.97990784011699605</v>
      </c>
      <c r="L99" s="20">
        <f t="shared" ca="1" si="36"/>
        <v>0.95659444104922164</v>
      </c>
    </row>
    <row r="100" spans="1:12" x14ac:dyDescent="0.2">
      <c r="A100" t="s">
        <v>699</v>
      </c>
      <c r="B100" t="s">
        <v>700</v>
      </c>
      <c r="C100" s="20">
        <f t="shared" ref="C100:L100" ca="1" si="37">32*C98+28*C99</f>
        <v>39.549760220450366</v>
      </c>
      <c r="D100" s="20">
        <f t="shared" ca="1" si="37"/>
        <v>39.549760220422257</v>
      </c>
      <c r="E100" s="20">
        <f t="shared" ca="1" si="37"/>
        <v>39.54976022047147</v>
      </c>
      <c r="F100" s="20">
        <f t="shared" ca="1" si="37"/>
        <v>39.549760220809105</v>
      </c>
      <c r="G100" s="20">
        <f t="shared" ca="1" si="37"/>
        <v>39.549760221970587</v>
      </c>
      <c r="H100" s="20">
        <f t="shared" ca="1" si="37"/>
        <v>38.874847291164194</v>
      </c>
      <c r="I100" s="20">
        <f t="shared" ca="1" si="37"/>
        <v>37.396905017937932</v>
      </c>
      <c r="J100" s="20">
        <f t="shared" ca="1" si="37"/>
        <v>36.769642390062202</v>
      </c>
      <c r="K100" s="20">
        <f t="shared" ca="1" si="37"/>
        <v>35.772838112625521</v>
      </c>
      <c r="L100" s="20">
        <f t="shared" ca="1" si="37"/>
        <v>34.921751493493105</v>
      </c>
    </row>
    <row r="101" spans="1:12" x14ac:dyDescent="0.2">
      <c r="A101" t="s">
        <v>701</v>
      </c>
      <c r="B101" t="s">
        <v>616</v>
      </c>
      <c r="C101" s="20">
        <f t="shared" ref="C101:L101" ca="1" si="38">C100*C94*((C15/101.3)^C96-1)/C93*(C17+273)/1000</f>
        <v>7.7266596763820896</v>
      </c>
      <c r="D101" s="20">
        <f t="shared" ca="1" si="38"/>
        <v>7.7266596763765989</v>
      </c>
      <c r="E101" s="20">
        <f t="shared" ca="1" si="38"/>
        <v>7.7266596763862134</v>
      </c>
      <c r="F101" s="20">
        <f t="shared" ca="1" si="38"/>
        <v>7.7266596764521758</v>
      </c>
      <c r="G101" s="20">
        <f t="shared" ca="1" si="38"/>
        <v>7.7266596766790903</v>
      </c>
      <c r="H101" s="20">
        <f t="shared" ca="1" si="38"/>
        <v>7.5948049574984129</v>
      </c>
      <c r="I101" s="20">
        <f t="shared" ca="1" si="38"/>
        <v>7.3060659890974602</v>
      </c>
      <c r="J101" s="20">
        <f t="shared" ca="1" si="38"/>
        <v>7.1835204963740233</v>
      </c>
      <c r="K101" s="20">
        <f t="shared" ca="1" si="38"/>
        <v>6.9887793052066325</v>
      </c>
      <c r="L101" s="20">
        <f t="shared" ca="1" si="38"/>
        <v>6.8225063208824839</v>
      </c>
    </row>
    <row r="102" spans="1:12" x14ac:dyDescent="0.2">
      <c r="A102" t="s">
        <v>702</v>
      </c>
      <c r="B102" t="s">
        <v>697</v>
      </c>
      <c r="C102" s="20">
        <f ca="1">C29*1000/'Iterative I-V'!C140*C19/(C5*C4)</f>
        <v>6.4280317069716861E-2</v>
      </c>
      <c r="D102" s="464">
        <f ca="1">D29*1000/'Iterative I-V'!D140*D19/(D5*D4)</f>
        <v>6.4102019752873191E-2</v>
      </c>
      <c r="E102" s="464">
        <f ca="1">E29*1000/'Iterative I-V'!E140*E19/(E5*E4)</f>
        <v>6.3845988424464734E-2</v>
      </c>
      <c r="F102" s="464">
        <f ca="1">F29*1000/'Iterative I-V'!F140*F19/(F5*F4)</f>
        <v>6.3499089975280407E-2</v>
      </c>
      <c r="G102" s="464">
        <f ca="1">G29*1000/'Iterative I-V'!G140*G19/(G5*G4)</f>
        <v>6.3905440728870444E-2</v>
      </c>
      <c r="H102" s="464">
        <f ca="1">H29*1000/'Iterative I-V'!H140*H19/(H5*H4)</f>
        <v>6.339682556591017E-2</v>
      </c>
      <c r="I102" s="464">
        <f ca="1">I29*1000/'Iterative I-V'!I140*I19/(I5*I4)</f>
        <v>6.211402540853022E-2</v>
      </c>
      <c r="J102" s="464">
        <f ca="1">J29*1000/'Iterative I-V'!J140*J19/(J5*J4)</f>
        <v>6.1035832008768734E-2</v>
      </c>
      <c r="K102" s="464">
        <f ca="1">K29*1000/'Iterative I-V'!K140*K19/(K5*K4)</f>
        <v>6.006054239366878E-2</v>
      </c>
      <c r="L102" s="464">
        <f ca="1">L29*1000/'Iterative I-V'!L140*L19/(L5*L4)</f>
        <v>5.9272148012576062E-2</v>
      </c>
    </row>
    <row r="103" spans="1:12" x14ac:dyDescent="0.2">
      <c r="A103" t="s">
        <v>703</v>
      </c>
      <c r="B103" t="s">
        <v>697</v>
      </c>
      <c r="C103" s="20">
        <f t="shared" ref="C103:L103" ca="1" si="39">C102*(1-C6)/C6</f>
        <v>0.24181643088131585</v>
      </c>
      <c r="D103" s="20">
        <f t="shared" ca="1" si="39"/>
        <v>0.24114569335604677</v>
      </c>
      <c r="E103" s="20">
        <f t="shared" ca="1" si="39"/>
        <v>0.24018252788251018</v>
      </c>
      <c r="F103" s="20">
        <f t="shared" ca="1" si="39"/>
        <v>0.2388775289546263</v>
      </c>
      <c r="G103" s="20">
        <f t="shared" ca="1" si="39"/>
        <v>0.24040618178956025</v>
      </c>
      <c r="H103" s="20">
        <f t="shared" ca="1" si="39"/>
        <v>0.23849281998604302</v>
      </c>
      <c r="I103" s="20">
        <f t="shared" ca="1" si="39"/>
        <v>0.2336670479654232</v>
      </c>
      <c r="J103" s="20">
        <f t="shared" ca="1" si="39"/>
        <v>0.2296109870806062</v>
      </c>
      <c r="K103" s="20">
        <f t="shared" ca="1" si="39"/>
        <v>0.22594204043332541</v>
      </c>
      <c r="L103" s="20">
        <f t="shared" ca="1" si="39"/>
        <v>0.22297617585683377</v>
      </c>
    </row>
    <row r="104" spans="1:12" x14ac:dyDescent="0.2">
      <c r="A104" t="s">
        <v>704</v>
      </c>
      <c r="B104" t="s">
        <v>700</v>
      </c>
      <c r="C104" s="20">
        <f t="shared" ref="C104:L104" ca="1" si="40">32*C102+28*C103</f>
        <v>8.8278302109077842</v>
      </c>
      <c r="D104" s="20">
        <f t="shared" ca="1" si="40"/>
        <v>8.8033440460612518</v>
      </c>
      <c r="E104" s="20">
        <f t="shared" ca="1" si="40"/>
        <v>8.7681824102931571</v>
      </c>
      <c r="F104" s="20">
        <f t="shared" ca="1" si="40"/>
        <v>8.7205416899385089</v>
      </c>
      <c r="G104" s="20">
        <f t="shared" ca="1" si="40"/>
        <v>8.7763471934315405</v>
      </c>
      <c r="H104" s="20">
        <f t="shared" ca="1" si="40"/>
        <v>8.7064973777183301</v>
      </c>
      <c r="I104" s="20">
        <f t="shared" ca="1" si="40"/>
        <v>8.5303261561048167</v>
      </c>
      <c r="J104" s="20">
        <f t="shared" ca="1" si="40"/>
        <v>8.3822542625375736</v>
      </c>
      <c r="K104" s="20">
        <f t="shared" ca="1" si="40"/>
        <v>8.2483144887305127</v>
      </c>
      <c r="L104" s="20">
        <f t="shared" ca="1" si="40"/>
        <v>8.1400416603937789</v>
      </c>
    </row>
    <row r="105" spans="1:12" x14ac:dyDescent="0.2">
      <c r="A105" t="s">
        <v>620</v>
      </c>
      <c r="B105" t="s">
        <v>616</v>
      </c>
      <c r="C105" s="20">
        <f t="shared" ref="C105:L105" ca="1" si="41">C104*C94*((C15/101.3)^C96-1)/C93*(C17+273)/1000</f>
        <v>1.7246536853919783</v>
      </c>
      <c r="D105" s="20">
        <f t="shared" ca="1" si="41"/>
        <v>1.7198699329369858</v>
      </c>
      <c r="E105" s="20">
        <f t="shared" ca="1" si="41"/>
        <v>1.7130005614988122</v>
      </c>
      <c r="F105" s="20">
        <f t="shared" ca="1" si="41"/>
        <v>1.7036932071465674</v>
      </c>
      <c r="G105" s="20">
        <f t="shared" ca="1" si="41"/>
        <v>1.7145956786446586</v>
      </c>
      <c r="H105" s="20">
        <f t="shared" ca="1" si="41"/>
        <v>1.7009494327138195</v>
      </c>
      <c r="I105" s="20">
        <f t="shared" ca="1" si="41"/>
        <v>1.6665316494809328</v>
      </c>
      <c r="J105" s="20">
        <f t="shared" ca="1" si="41"/>
        <v>1.6376035062291323</v>
      </c>
      <c r="K105" s="20">
        <f t="shared" ca="1" si="41"/>
        <v>1.611436291976247</v>
      </c>
      <c r="L105" s="20">
        <f t="shared" ca="1" si="41"/>
        <v>1.5902835140050495</v>
      </c>
    </row>
    <row r="106" spans="1:12" x14ac:dyDescent="0.2">
      <c r="A106" s="252" t="s">
        <v>831</v>
      </c>
      <c r="B106" s="252" t="s">
        <v>832</v>
      </c>
      <c r="C106" s="6">
        <f ca="1">C105*5</f>
        <v>8.6232684269598909</v>
      </c>
      <c r="D106" s="6">
        <f t="shared" ref="D106:L106" ca="1" si="42">D105*5</f>
        <v>8.5993496646849295</v>
      </c>
      <c r="E106" s="6">
        <f t="shared" ca="1" si="42"/>
        <v>8.5650028074940607</v>
      </c>
      <c r="F106" s="6">
        <f t="shared" ca="1" si="42"/>
        <v>8.5184660357328372</v>
      </c>
      <c r="G106" s="6">
        <f t="shared" ca="1" si="42"/>
        <v>8.572978393223293</v>
      </c>
      <c r="H106" s="6">
        <f t="shared" ca="1" si="42"/>
        <v>8.5047471635690979</v>
      </c>
      <c r="I106" s="6">
        <f t="shared" ca="1" si="42"/>
        <v>8.3326582474046642</v>
      </c>
      <c r="J106" s="6">
        <f t="shared" ca="1" si="42"/>
        <v>8.1880175311456611</v>
      </c>
      <c r="K106" s="6">
        <f t="shared" ca="1" si="42"/>
        <v>8.0571814598812352</v>
      </c>
      <c r="L106" s="6">
        <f t="shared" ca="1" si="42"/>
        <v>7.9514175700252476</v>
      </c>
    </row>
    <row r="108" spans="1:12" ht="15" x14ac:dyDescent="0.25">
      <c r="A108" s="364"/>
      <c r="E108" s="256"/>
      <c r="F108" s="256"/>
      <c r="G108" s="256"/>
      <c r="H108" s="256"/>
      <c r="I108" s="256"/>
      <c r="J108" s="256"/>
      <c r="K108" s="256"/>
      <c r="L108" s="256"/>
    </row>
    <row r="109" spans="1:12" ht="15" x14ac:dyDescent="0.25">
      <c r="A109" s="367"/>
      <c r="E109" s="256"/>
      <c r="F109" s="256"/>
      <c r="G109" s="256"/>
      <c r="H109" s="256"/>
      <c r="I109" s="256"/>
      <c r="J109" s="256"/>
      <c r="K109" s="256"/>
      <c r="L109" s="256"/>
    </row>
    <row r="110" spans="1:12" ht="15" x14ac:dyDescent="0.25">
      <c r="A110" s="367"/>
      <c r="E110" s="256"/>
      <c r="F110" s="256"/>
      <c r="G110" s="256"/>
      <c r="H110" s="256"/>
      <c r="I110" s="256"/>
      <c r="J110" s="256"/>
      <c r="K110" s="256"/>
      <c r="L110" s="256"/>
    </row>
    <row r="111" spans="1:12" ht="15" x14ac:dyDescent="0.25">
      <c r="A111" s="367"/>
      <c r="E111" s="256"/>
      <c r="F111" s="256"/>
      <c r="G111" s="256"/>
      <c r="H111" s="256"/>
      <c r="I111" s="256"/>
      <c r="J111" s="256"/>
      <c r="K111" s="256"/>
      <c r="L111" s="256"/>
    </row>
    <row r="112" spans="1:12" ht="18.75" x14ac:dyDescent="0.3">
      <c r="A112" s="363"/>
      <c r="E112" s="256"/>
      <c r="F112" s="256"/>
      <c r="G112" s="256"/>
      <c r="H112" s="256"/>
      <c r="I112" s="256"/>
      <c r="J112" s="256"/>
      <c r="K112" s="256"/>
      <c r="L112" s="256"/>
    </row>
    <row r="113" spans="1:12" ht="15" x14ac:dyDescent="0.25">
      <c r="A113" s="364"/>
      <c r="E113" s="256"/>
      <c r="F113" s="256"/>
      <c r="G113" s="256"/>
      <c r="H113" s="256"/>
      <c r="I113" s="256"/>
      <c r="J113" s="256"/>
      <c r="K113" s="256"/>
      <c r="L113" s="256"/>
    </row>
    <row r="114" spans="1:12" x14ac:dyDescent="0.2">
      <c r="A114" s="365"/>
      <c r="E114" s="256"/>
      <c r="F114" s="256"/>
      <c r="G114" s="256"/>
      <c r="H114" s="256"/>
      <c r="I114" s="256"/>
      <c r="J114" s="256"/>
      <c r="K114" s="256"/>
      <c r="L114" s="256"/>
    </row>
    <row r="115" spans="1:12" ht="15" x14ac:dyDescent="0.25">
      <c r="A115" s="364"/>
      <c r="E115" s="256"/>
      <c r="F115" s="256"/>
      <c r="G115" s="256"/>
      <c r="H115" s="256"/>
      <c r="I115" s="256"/>
      <c r="J115" s="256"/>
      <c r="K115" s="256"/>
      <c r="L115" s="256"/>
    </row>
    <row r="116" spans="1:12" x14ac:dyDescent="0.2">
      <c r="E116" s="256"/>
      <c r="F116" s="256"/>
      <c r="G116" s="256"/>
      <c r="H116" s="256"/>
      <c r="I116" s="256"/>
      <c r="J116" s="256"/>
      <c r="K116" s="256"/>
      <c r="L116" s="256"/>
    </row>
    <row r="117" spans="1:12" x14ac:dyDescent="0.2">
      <c r="A117" s="252"/>
      <c r="C117" s="4"/>
      <c r="D117" s="4"/>
      <c r="E117" s="4"/>
      <c r="F117" s="4"/>
      <c r="G117" s="4"/>
      <c r="H117" s="4"/>
      <c r="I117" s="4"/>
      <c r="J117" s="4"/>
      <c r="K117" s="4"/>
      <c r="L117" s="4"/>
    </row>
    <row r="118" spans="1:12" x14ac:dyDescent="0.2">
      <c r="C118" s="4"/>
      <c r="D118" s="4"/>
      <c r="E118" s="4"/>
      <c r="F118" s="4"/>
      <c r="G118" s="4"/>
      <c r="H118" s="4"/>
      <c r="I118" s="4"/>
      <c r="J118" s="4"/>
      <c r="K118" s="4"/>
      <c r="L118" s="4"/>
    </row>
    <row r="119" spans="1:12" x14ac:dyDescent="0.2">
      <c r="E119" s="256"/>
      <c r="F119" s="256"/>
      <c r="G119" s="256"/>
      <c r="H119" s="256"/>
      <c r="I119" s="256"/>
      <c r="J119" s="256"/>
      <c r="K119" s="256"/>
      <c r="L119" s="256"/>
    </row>
    <row r="134" spans="5:12" x14ac:dyDescent="0.2">
      <c r="E134" s="256"/>
      <c r="F134" s="256"/>
      <c r="G134" s="256"/>
      <c r="H134" s="256"/>
      <c r="I134" s="256"/>
      <c r="J134" s="256"/>
      <c r="K134" s="256"/>
      <c r="L134" s="256"/>
    </row>
    <row r="140" spans="5:12" x14ac:dyDescent="0.2">
      <c r="E140" s="256"/>
      <c r="F140" s="256"/>
      <c r="G140" s="256"/>
      <c r="H140" s="256"/>
      <c r="I140" s="256"/>
      <c r="J140" s="256"/>
      <c r="K140" s="256"/>
      <c r="L140" s="256"/>
    </row>
    <row r="141" spans="5:12" x14ac:dyDescent="0.2">
      <c r="E141" s="256"/>
      <c r="F141" s="256"/>
      <c r="G141" s="256"/>
      <c r="H141" s="256"/>
      <c r="I141" s="256"/>
      <c r="J141" s="256"/>
      <c r="K141" s="256"/>
      <c r="L141" s="256"/>
    </row>
    <row r="142" spans="5:12" x14ac:dyDescent="0.2">
      <c r="E142" s="256"/>
      <c r="F142" s="256"/>
      <c r="G142" s="256"/>
      <c r="H142" s="256"/>
      <c r="I142" s="256"/>
      <c r="J142" s="256"/>
      <c r="K142" s="256"/>
      <c r="L142" s="256"/>
    </row>
    <row r="213" spans="5:12" x14ac:dyDescent="0.2">
      <c r="E213" s="256"/>
      <c r="F213" s="256"/>
      <c r="G213" s="256"/>
      <c r="H213" s="256"/>
      <c r="I213" s="256"/>
      <c r="J213" s="256"/>
      <c r="K213" s="256"/>
      <c r="L213" s="256"/>
    </row>
    <row r="214" spans="5:12" x14ac:dyDescent="0.2">
      <c r="E214" s="256"/>
      <c r="F214" s="256"/>
      <c r="G214" s="256"/>
      <c r="H214" s="256"/>
      <c r="I214" s="256"/>
      <c r="J214" s="256"/>
      <c r="K214" s="256"/>
      <c r="L214" s="256"/>
    </row>
    <row r="215" spans="5:12" x14ac:dyDescent="0.2">
      <c r="E215" s="256"/>
      <c r="F215" s="256"/>
      <c r="G215" s="256"/>
      <c r="H215" s="256"/>
      <c r="I215" s="256"/>
      <c r="J215" s="256"/>
      <c r="K215" s="256"/>
      <c r="L215" s="256"/>
    </row>
  </sheetData>
  <phoneticPr fontId="44" type="noConversion"/>
  <pageMargins left="0.7" right="0.7" top="0.75" bottom="0.75" header="0.3" footer="0.3"/>
  <pageSetup orientation="portrait" horizontalDpi="4294967292" verticalDpi="4294967292"/>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E6" sqref="E6"/>
    </sheetView>
  </sheetViews>
  <sheetFormatPr defaultColWidth="8.85546875" defaultRowHeight="12.75" x14ac:dyDescent="0.2"/>
  <cols>
    <col min="1" max="1" width="25.42578125" customWidth="1"/>
    <col min="3" max="3" width="11.140625" customWidth="1"/>
    <col min="8" max="8" width="23" customWidth="1"/>
  </cols>
  <sheetData>
    <row r="1" spans="1:5" x14ac:dyDescent="0.2">
      <c r="A1" t="s">
        <v>885</v>
      </c>
    </row>
    <row r="2" spans="1:5" x14ac:dyDescent="0.2">
      <c r="B2" s="256" t="s">
        <v>685</v>
      </c>
      <c r="C2" s="256" t="s">
        <v>861</v>
      </c>
      <c r="D2" s="256" t="s">
        <v>862</v>
      </c>
    </row>
    <row r="3" spans="1:5" x14ac:dyDescent="0.2">
      <c r="A3" t="s">
        <v>863</v>
      </c>
      <c r="B3" s="256">
        <v>4</v>
      </c>
      <c r="C3" s="256">
        <v>2</v>
      </c>
      <c r="D3" s="256">
        <v>15</v>
      </c>
    </row>
    <row r="4" spans="1:5" x14ac:dyDescent="0.2">
      <c r="A4" t="s">
        <v>880</v>
      </c>
      <c r="B4" s="256">
        <v>15</v>
      </c>
      <c r="C4" s="256">
        <v>18</v>
      </c>
      <c r="D4" s="256">
        <v>650</v>
      </c>
      <c r="E4" t="s">
        <v>879</v>
      </c>
    </row>
    <row r="5" spans="1:5" x14ac:dyDescent="0.2">
      <c r="A5" t="s">
        <v>888</v>
      </c>
      <c r="B5" s="133">
        <v>38</v>
      </c>
      <c r="C5" s="133">
        <v>38</v>
      </c>
      <c r="D5" s="133">
        <v>600</v>
      </c>
      <c r="E5" s="252" t="s">
        <v>879</v>
      </c>
    </row>
    <row r="6" spans="1:5" x14ac:dyDescent="0.2">
      <c r="A6" t="s">
        <v>878</v>
      </c>
      <c r="B6" s="256">
        <v>14</v>
      </c>
      <c r="C6" s="256">
        <v>12</v>
      </c>
      <c r="D6" s="256">
        <f>30+10*4</f>
        <v>70</v>
      </c>
      <c r="E6" t="s">
        <v>877</v>
      </c>
    </row>
    <row r="7" spans="1:5" x14ac:dyDescent="0.2">
      <c r="A7" t="s">
        <v>887</v>
      </c>
      <c r="B7" s="256">
        <v>15</v>
      </c>
      <c r="C7" s="256">
        <v>13</v>
      </c>
      <c r="D7" s="256">
        <v>100</v>
      </c>
      <c r="E7" s="252" t="s">
        <v>894</v>
      </c>
    </row>
    <row r="8" spans="1:5" x14ac:dyDescent="0.2">
      <c r="A8" t="s">
        <v>827</v>
      </c>
      <c r="B8" s="256">
        <v>3</v>
      </c>
      <c r="C8" s="256">
        <v>2</v>
      </c>
      <c r="D8" s="256">
        <v>10</v>
      </c>
    </row>
    <row r="9" spans="1:5" ht="13.5" thickBot="1" x14ac:dyDescent="0.25">
      <c r="B9" s="256" t="s">
        <v>685</v>
      </c>
      <c r="C9" s="256" t="s">
        <v>861</v>
      </c>
      <c r="D9" s="256" t="s">
        <v>862</v>
      </c>
    </row>
    <row r="10" spans="1:5" ht="13.5" thickBot="1" x14ac:dyDescent="0.25">
      <c r="A10" t="s">
        <v>828</v>
      </c>
      <c r="B10" s="490">
        <f>SUM(B3:B8)</f>
        <v>89</v>
      </c>
      <c r="C10" s="491">
        <f t="shared" ref="C10:D10" si="0">SUM(C3:C8)</f>
        <v>85</v>
      </c>
      <c r="D10" s="492">
        <f t="shared" si="0"/>
        <v>1445</v>
      </c>
    </row>
    <row r="11" spans="1:5" x14ac:dyDescent="0.2">
      <c r="B11" s="256"/>
    </row>
    <row r="12" spans="1:5" x14ac:dyDescent="0.2">
      <c r="A12" s="495"/>
    </row>
    <row r="13" spans="1:5" x14ac:dyDescent="0.2">
      <c r="B13" s="256"/>
      <c r="C13" s="256"/>
      <c r="D13" s="256"/>
    </row>
    <row r="15" spans="1:5" x14ac:dyDescent="0.2">
      <c r="B15" s="256" t="s">
        <v>685</v>
      </c>
      <c r="C15" s="256" t="s">
        <v>861</v>
      </c>
      <c r="D15" s="256" t="s">
        <v>862</v>
      </c>
    </row>
    <row r="16" spans="1:5" x14ac:dyDescent="0.2">
      <c r="A16" t="s">
        <v>880</v>
      </c>
      <c r="B16" s="256">
        <v>30</v>
      </c>
      <c r="C16" s="256">
        <v>36</v>
      </c>
      <c r="D16" s="256">
        <v>1300</v>
      </c>
      <c r="E16" t="s">
        <v>882</v>
      </c>
    </row>
    <row r="17" spans="1:6" x14ac:dyDescent="0.2">
      <c r="A17" t="s">
        <v>888</v>
      </c>
      <c r="B17" s="133">
        <v>25</v>
      </c>
      <c r="C17" s="133">
        <v>25</v>
      </c>
      <c r="D17" s="133">
        <v>500</v>
      </c>
      <c r="E17" t="s">
        <v>882</v>
      </c>
      <c r="F17" s="495" t="s">
        <v>889</v>
      </c>
    </row>
    <row r="18" spans="1:6" x14ac:dyDescent="0.2">
      <c r="B18" s="256"/>
      <c r="C18" s="256"/>
      <c r="D18" s="256"/>
    </row>
    <row r="19" spans="1:6" x14ac:dyDescent="0.2">
      <c r="A19" t="s">
        <v>880</v>
      </c>
      <c r="B19" s="256">
        <v>15</v>
      </c>
      <c r="C19" s="256">
        <v>18</v>
      </c>
      <c r="D19" s="256">
        <v>650</v>
      </c>
      <c r="E19" t="s">
        <v>879</v>
      </c>
    </row>
    <row r="20" spans="1:6" x14ac:dyDescent="0.2">
      <c r="A20" t="s">
        <v>888</v>
      </c>
      <c r="B20" s="133">
        <v>38</v>
      </c>
      <c r="C20" s="133">
        <v>38</v>
      </c>
      <c r="D20" s="133">
        <v>600</v>
      </c>
      <c r="E20" s="252" t="s">
        <v>893</v>
      </c>
      <c r="F20" s="495" t="s">
        <v>890</v>
      </c>
    </row>
  </sheetData>
  <phoneticPr fontId="44" type="noConversion"/>
  <pageMargins left="0.7" right="0.7" top="0.75" bottom="0.75" header="0.3" footer="0.3"/>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sheetPr>
  <dimension ref="A1:T312"/>
  <sheetViews>
    <sheetView tabSelected="1" topLeftCell="A187" workbookViewId="0">
      <selection activeCell="F202" sqref="F202"/>
    </sheetView>
  </sheetViews>
  <sheetFormatPr defaultColWidth="8.85546875" defaultRowHeight="12.75" x14ac:dyDescent="0.2"/>
  <cols>
    <col min="1" max="1" width="10.7109375" customWidth="1"/>
    <col min="2" max="2" width="14.42578125" customWidth="1"/>
    <col min="3" max="3" width="13.140625" customWidth="1"/>
    <col min="4" max="4" width="11" customWidth="1"/>
    <col min="5" max="5" width="13" customWidth="1"/>
    <col min="6" max="10" width="10.7109375" customWidth="1"/>
    <col min="11" max="11" width="10.42578125" customWidth="1"/>
    <col min="12" max="15" width="10.28515625" customWidth="1"/>
    <col min="16" max="16" width="12.7109375" style="106" customWidth="1"/>
    <col min="17" max="20" width="10.7109375" style="106" customWidth="1"/>
  </cols>
  <sheetData>
    <row r="1" spans="1:15" ht="15.75" x14ac:dyDescent="0.25">
      <c r="A1" s="510" t="s">
        <v>321</v>
      </c>
      <c r="B1" s="510"/>
      <c r="C1" s="510"/>
      <c r="D1" s="510"/>
      <c r="E1" s="510"/>
      <c r="F1" s="510"/>
      <c r="G1" s="510"/>
      <c r="H1" s="510"/>
      <c r="I1" s="510"/>
      <c r="J1" s="510"/>
      <c r="K1" s="510"/>
      <c r="L1" s="510"/>
      <c r="M1" s="106"/>
      <c r="N1" s="106"/>
      <c r="O1" s="106"/>
    </row>
    <row r="2" spans="1:15" ht="15.75" x14ac:dyDescent="0.25">
      <c r="A2" s="511" t="s">
        <v>886</v>
      </c>
      <c r="B2" s="511"/>
      <c r="C2" s="511"/>
      <c r="D2" s="511"/>
      <c r="E2" s="511"/>
      <c r="F2" s="511"/>
      <c r="G2" s="511"/>
      <c r="H2" s="511"/>
      <c r="I2" s="511"/>
      <c r="J2" s="511"/>
      <c r="K2" s="511"/>
      <c r="L2" s="511"/>
      <c r="M2" s="106"/>
      <c r="N2" s="106"/>
      <c r="O2" s="106"/>
    </row>
    <row r="3" spans="1:15" x14ac:dyDescent="0.2">
      <c r="B3" s="35"/>
      <c r="C3" s="35"/>
      <c r="D3" s="35"/>
      <c r="E3" s="35"/>
      <c r="F3" s="8" t="s">
        <v>106</v>
      </c>
      <c r="G3" s="8" t="s">
        <v>107</v>
      </c>
      <c r="H3" s="8" t="s">
        <v>108</v>
      </c>
      <c r="I3" s="8" t="s">
        <v>109</v>
      </c>
      <c r="J3" s="8" t="s">
        <v>110</v>
      </c>
      <c r="K3" s="302" t="s">
        <v>502</v>
      </c>
      <c r="L3" s="305" t="s">
        <v>503</v>
      </c>
      <c r="M3" s="362" t="s">
        <v>538</v>
      </c>
      <c r="N3" s="362" t="s">
        <v>539</v>
      </c>
      <c r="O3" s="362" t="s">
        <v>604</v>
      </c>
    </row>
    <row r="4" spans="1:15" ht="15.75" x14ac:dyDescent="0.25">
      <c r="A4" s="16" t="s">
        <v>562</v>
      </c>
      <c r="B4" s="35"/>
      <c r="C4" s="35"/>
      <c r="D4" s="35"/>
      <c r="E4" s="35"/>
      <c r="F4" s="444"/>
      <c r="G4" s="323"/>
      <c r="H4" s="323"/>
      <c r="I4" s="323"/>
      <c r="J4" s="323"/>
      <c r="K4" s="323"/>
      <c r="L4" s="323"/>
      <c r="M4" s="362"/>
      <c r="N4" s="362"/>
      <c r="O4" s="362"/>
    </row>
    <row r="5" spans="1:15" ht="15" x14ac:dyDescent="0.25">
      <c r="A5" s="325" t="s">
        <v>3</v>
      </c>
      <c r="B5" s="22"/>
      <c r="C5" s="27" t="s">
        <v>779</v>
      </c>
      <c r="D5" s="24" t="s">
        <v>114</v>
      </c>
      <c r="E5" s="9" t="s">
        <v>113</v>
      </c>
    </row>
    <row r="6" spans="1:15" x14ac:dyDescent="0.2">
      <c r="A6" s="12" t="s">
        <v>112</v>
      </c>
      <c r="B6" s="11"/>
      <c r="C6" s="415">
        <f>IF(Chem!$E$8="Enclosed",D6/E6*$E$11,Chem!E9)</f>
        <v>60</v>
      </c>
      <c r="D6" s="415">
        <f>IF(Chem!$E$8="Enclosed",Chem!E14,C6*E6/($C$6*$E$6+$C$7*$E$7+$C$8*$E$8)*100)</f>
        <v>88.426693887967346</v>
      </c>
      <c r="E6" s="105">
        <f>Chem!E20</f>
        <v>2.31</v>
      </c>
      <c r="F6" s="38">
        <f ca="1">F77/F38*1000</f>
        <v>173.84916629434076</v>
      </c>
      <c r="G6" s="38">
        <f t="shared" ref="G6:L6" ca="1" si="0">G77/G38*1000</f>
        <v>173.36695274456517</v>
      </c>
      <c r="H6" s="38">
        <f t="shared" ca="1" si="0"/>
        <v>172.67450387347782</v>
      </c>
      <c r="I6" s="38">
        <f t="shared" ca="1" si="0"/>
        <v>171.73630056450719</v>
      </c>
      <c r="J6" s="38">
        <f t="shared" ca="1" si="0"/>
        <v>172.83529545045863</v>
      </c>
      <c r="K6" s="38">
        <f t="shared" ca="1" si="0"/>
        <v>171.45972161891169</v>
      </c>
      <c r="L6" s="38">
        <f t="shared" ca="1" si="0"/>
        <v>168.30027300493779</v>
      </c>
      <c r="M6" s="38">
        <f t="shared" ref="M6:O6" ca="1" si="1">M77/M38*1000</f>
        <v>164.31421736501923</v>
      </c>
      <c r="N6" s="38">
        <f t="shared" ca="1" si="1"/>
        <v>161.91300554362869</v>
      </c>
      <c r="O6" s="38">
        <f t="shared" ca="1" si="1"/>
        <v>159.86156992571762</v>
      </c>
    </row>
    <row r="7" spans="1:15" x14ac:dyDescent="0.2">
      <c r="A7" s="12" t="s">
        <v>418</v>
      </c>
      <c r="B7" s="36"/>
      <c r="C7" s="415">
        <f>IF(Chem!$E$8="Enclosed",D7/E7*$E$11,Chem!E10)</f>
        <v>8</v>
      </c>
      <c r="D7" s="415">
        <f>IF(Chem!$E$8="Enclosed",Chem!E15,C7*E7/($C$6*$E$6+$C$7*$E$7+$C$8*$E$8)*100)</f>
        <v>9.3147888222534139</v>
      </c>
      <c r="E7" s="105">
        <f>Chem!E21</f>
        <v>1.825</v>
      </c>
      <c r="F7" s="39">
        <f t="shared" ref="F7:O8" ca="1" si="2">F$11*$D7/100</f>
        <v>18.313115641385096</v>
      </c>
      <c r="G7" s="39">
        <f t="shared" ca="1" si="2"/>
        <v>18.262319697482745</v>
      </c>
      <c r="H7" s="39">
        <f t="shared" ca="1" si="2"/>
        <v>18.189377752910421</v>
      </c>
      <c r="I7" s="39">
        <f t="shared" ca="1" si="2"/>
        <v>18.090548255720524</v>
      </c>
      <c r="J7" s="39">
        <f t="shared" ca="1" si="2"/>
        <v>18.206315393770499</v>
      </c>
      <c r="K7" s="39">
        <f t="shared" ca="1" si="2"/>
        <v>18.061413677028202</v>
      </c>
      <c r="L7" s="39">
        <f t="shared" ca="1" si="2"/>
        <v>17.728600186667315</v>
      </c>
      <c r="M7" s="39">
        <f t="shared" ca="1" si="2"/>
        <v>17.30871265172641</v>
      </c>
      <c r="N7" s="39">
        <f t="shared" ca="1" si="2"/>
        <v>17.055771146731448</v>
      </c>
      <c r="O7" s="39">
        <f t="shared" ca="1" si="2"/>
        <v>16.839674754079919</v>
      </c>
    </row>
    <row r="8" spans="1:15" x14ac:dyDescent="0.2">
      <c r="A8" s="10" t="s">
        <v>117</v>
      </c>
      <c r="B8" s="10"/>
      <c r="C8" s="415">
        <f>IF(Chem!$E$8="Enclosed",D8/E8*$E$11,Chem!E11)</f>
        <v>2</v>
      </c>
      <c r="D8" s="415">
        <f>IF(Chem!$E$8="Enclosed",Chem!E16,C8*E8/($C$6*$E$6+$C$7*$E$7+$C$8*$E$8)*100)</f>
        <v>2.2585172897792525</v>
      </c>
      <c r="E8" s="105">
        <f>Chem!E22</f>
        <v>1.77</v>
      </c>
      <c r="F8" s="39">
        <f t="shared" ca="1" si="2"/>
        <v>4.4403033815413187</v>
      </c>
      <c r="G8" s="39">
        <f t="shared" ca="1" si="2"/>
        <v>4.427987104732118</v>
      </c>
      <c r="H8" s="39">
        <f t="shared" ca="1" si="2"/>
        <v>4.4103011811851296</v>
      </c>
      <c r="I8" s="39">
        <f t="shared" ca="1" si="2"/>
        <v>4.386338412688402</v>
      </c>
      <c r="J8" s="39">
        <f t="shared" ca="1" si="2"/>
        <v>4.4144079790375041</v>
      </c>
      <c r="K8" s="39">
        <f t="shared" ca="1" si="2"/>
        <v>4.3792742751150575</v>
      </c>
      <c r="L8" s="39">
        <f t="shared" ca="1" si="2"/>
        <v>4.2985784014248152</v>
      </c>
      <c r="M8" s="39">
        <f t="shared" ca="1" si="2"/>
        <v>4.1967700539117461</v>
      </c>
      <c r="N8" s="39">
        <f t="shared" ca="1" si="2"/>
        <v>4.1354404013307757</v>
      </c>
      <c r="O8" s="39">
        <f t="shared" ca="1" si="2"/>
        <v>4.0830444266741726</v>
      </c>
    </row>
    <row r="9" spans="1:15" x14ac:dyDescent="0.2">
      <c r="A9" s="260" t="s">
        <v>782</v>
      </c>
      <c r="B9" s="10"/>
      <c r="C9" s="104">
        <f>Chem!E12</f>
        <v>5</v>
      </c>
      <c r="D9" s="104">
        <v>0</v>
      </c>
      <c r="E9" s="105"/>
      <c r="F9" s="39"/>
      <c r="G9" s="39"/>
      <c r="H9" s="39"/>
      <c r="I9" s="39"/>
      <c r="J9" s="39"/>
      <c r="K9" s="39"/>
      <c r="L9" s="39"/>
      <c r="M9" s="39"/>
      <c r="N9" s="39"/>
      <c r="O9" s="39"/>
    </row>
    <row r="10" spans="1:15" x14ac:dyDescent="0.2">
      <c r="A10" s="260" t="s">
        <v>101</v>
      </c>
      <c r="B10" s="15"/>
      <c r="C10" s="107">
        <f>Chem!E18</f>
        <v>25</v>
      </c>
      <c r="D10" s="13"/>
      <c r="E10" s="417">
        <f>Chem!E46</f>
        <v>1.2</v>
      </c>
      <c r="F10" s="40">
        <f t="shared" ref="F10:O10" ca="1" si="3">F$11*$D10/100</f>
        <v>0</v>
      </c>
      <c r="G10" s="40">
        <f t="shared" ca="1" si="3"/>
        <v>0</v>
      </c>
      <c r="H10" s="40">
        <f t="shared" ca="1" si="3"/>
        <v>0</v>
      </c>
      <c r="I10" s="40">
        <f t="shared" ca="1" si="3"/>
        <v>0</v>
      </c>
      <c r="J10" s="40">
        <f t="shared" ca="1" si="3"/>
        <v>0</v>
      </c>
      <c r="K10" s="40">
        <f t="shared" ca="1" si="3"/>
        <v>0</v>
      </c>
      <c r="L10" s="40">
        <f t="shared" ca="1" si="3"/>
        <v>0</v>
      </c>
      <c r="M10" s="40">
        <f t="shared" ca="1" si="3"/>
        <v>0</v>
      </c>
      <c r="N10" s="40">
        <f t="shared" ca="1" si="3"/>
        <v>0</v>
      </c>
      <c r="O10" s="40">
        <f t="shared" ca="1" si="3"/>
        <v>0</v>
      </c>
    </row>
    <row r="11" spans="1:15" x14ac:dyDescent="0.2">
      <c r="A11" s="10" t="s">
        <v>119</v>
      </c>
      <c r="B11" s="10"/>
      <c r="C11" s="9">
        <f>SUM(C6:C10)</f>
        <v>100</v>
      </c>
      <c r="D11" s="9">
        <f>SUM(D6:D10)</f>
        <v>100.00000000000001</v>
      </c>
      <c r="E11" s="14">
        <f>(100-C10-C9)/(D6/E6+D7/E7+D8/E8)</f>
        <v>1.5673999999999999</v>
      </c>
      <c r="F11" s="37">
        <f ca="1">F6/$D6*100</f>
        <v>196.6025853172797</v>
      </c>
      <c r="G11" s="37">
        <f t="shared" ref="G11:L11" ca="1" si="4">G6/$D6*100</f>
        <v>196.0572595467759</v>
      </c>
      <c r="H11" s="37">
        <f t="shared" ca="1" si="4"/>
        <v>195.27418280756791</v>
      </c>
      <c r="I11" s="37">
        <f ca="1">I6/$D6*100</f>
        <v>194.21318723290659</v>
      </c>
      <c r="J11" s="37">
        <f t="shared" ca="1" si="4"/>
        <v>195.45601882326756</v>
      </c>
      <c r="K11" s="37">
        <f t="shared" ca="1" si="4"/>
        <v>193.90040957105495</v>
      </c>
      <c r="L11" s="37">
        <f t="shared" ca="1" si="4"/>
        <v>190.32745159302991</v>
      </c>
      <c r="M11" s="37">
        <f t="shared" ref="M11:O11" ca="1" si="5">M6/$D6*100</f>
        <v>185.81970007065735</v>
      </c>
      <c r="N11" s="37">
        <f t="shared" ca="1" si="5"/>
        <v>183.10421709169088</v>
      </c>
      <c r="O11" s="37">
        <f t="shared" ca="1" si="5"/>
        <v>180.78428910647168</v>
      </c>
    </row>
    <row r="12" spans="1:15" x14ac:dyDescent="0.2">
      <c r="A12" s="260" t="s">
        <v>856</v>
      </c>
      <c r="B12" s="10"/>
      <c r="C12" s="9"/>
      <c r="D12" s="9"/>
      <c r="E12" s="14"/>
      <c r="F12" s="37">
        <f ca="1">F11-F15*1/F42</f>
        <v>144.0110737317635</v>
      </c>
      <c r="G12" s="37">
        <f t="shared" ref="G12:O12" ca="1" si="6">G11-G15*1/G42</f>
        <v>143.61162349246649</v>
      </c>
      <c r="H12" s="37">
        <f t="shared" ca="1" si="6"/>
        <v>143.03802105562002</v>
      </c>
      <c r="I12" s="37">
        <f t="shared" ca="1" si="6"/>
        <v>142.26084352417072</v>
      </c>
      <c r="J12" s="37">
        <f t="shared" ca="1" si="6"/>
        <v>143.1712156411574</v>
      </c>
      <c r="K12" s="37">
        <f t="shared" ca="1" si="6"/>
        <v>142.03173439599959</v>
      </c>
      <c r="L12" s="37">
        <f t="shared" ca="1" si="6"/>
        <v>139.41454849285708</v>
      </c>
      <c r="M12" s="37">
        <f t="shared" ca="1" si="6"/>
        <v>136.11262784005842</v>
      </c>
      <c r="N12" s="37">
        <f t="shared" ca="1" si="6"/>
        <v>134.12354097800056</v>
      </c>
      <c r="O12" s="37">
        <f t="shared" ca="1" si="6"/>
        <v>132.42419750501139</v>
      </c>
    </row>
    <row r="13" spans="1:15" x14ac:dyDescent="0.2">
      <c r="A13" s="260" t="s">
        <v>870</v>
      </c>
      <c r="B13" s="10"/>
      <c r="C13" s="10"/>
      <c r="D13" s="9"/>
      <c r="E13" s="14"/>
      <c r="F13" s="37">
        <f ca="1">F11-F6</f>
        <v>22.753419022938942</v>
      </c>
      <c r="G13" s="37">
        <f t="shared" ref="G13:O13" ca="1" si="7">G11-G6</f>
        <v>22.690306802210728</v>
      </c>
      <c r="H13" s="37">
        <f t="shared" ca="1" si="7"/>
        <v>22.599678934090093</v>
      </c>
      <c r="I13" s="37">
        <f t="shared" ca="1" si="7"/>
        <v>22.476886668399402</v>
      </c>
      <c r="J13" s="37">
        <f t="shared" ca="1" si="7"/>
        <v>22.620723372808925</v>
      </c>
      <c r="K13" s="37">
        <f t="shared" ca="1" si="7"/>
        <v>22.440687952143264</v>
      </c>
      <c r="L13" s="37">
        <f t="shared" ca="1" si="7"/>
        <v>22.027178588092113</v>
      </c>
      <c r="M13" s="37">
        <f t="shared" ca="1" si="7"/>
        <v>21.505482705638116</v>
      </c>
      <c r="N13" s="37">
        <f t="shared" ca="1" si="7"/>
        <v>21.191211548062199</v>
      </c>
      <c r="O13" s="37">
        <f t="shared" ca="1" si="7"/>
        <v>20.922719180754058</v>
      </c>
    </row>
    <row r="14" spans="1:15" ht="15" x14ac:dyDescent="0.25">
      <c r="A14" s="326" t="s">
        <v>151</v>
      </c>
      <c r="B14" s="26"/>
      <c r="C14" s="27" t="s">
        <v>779</v>
      </c>
      <c r="D14" s="27" t="s">
        <v>114</v>
      </c>
      <c r="E14" s="27" t="s">
        <v>113</v>
      </c>
      <c r="F14" s="28"/>
      <c r="G14" s="28"/>
      <c r="H14" s="28"/>
      <c r="I14" s="28"/>
      <c r="J14" s="28"/>
      <c r="K14" s="28"/>
      <c r="L14" s="28"/>
      <c r="M14" s="28"/>
      <c r="N14" s="28"/>
      <c r="O14" s="28"/>
    </row>
    <row r="15" spans="1:15" x14ac:dyDescent="0.2">
      <c r="A15" s="51" t="s">
        <v>112</v>
      </c>
      <c r="B15" s="26"/>
      <c r="C15" s="104"/>
      <c r="D15" s="108">
        <f>Chem!E27</f>
        <v>100</v>
      </c>
      <c r="E15" s="110">
        <f>Chem!E33</f>
        <v>0.53</v>
      </c>
      <c r="F15" s="41">
        <f ca="1">F77/F40*1000*F42*(1+F47/100)</f>
        <v>78.887267378317802</v>
      </c>
      <c r="G15" s="41">
        <f t="shared" ref="G15:L15" ca="1" si="8">G77/G40*1000*G42*(1+G47/100)</f>
        <v>78.668454081449937</v>
      </c>
      <c r="H15" s="41">
        <f t="shared" ca="1" si="8"/>
        <v>78.35424262790292</v>
      </c>
      <c r="I15" s="41">
        <f t="shared" ca="1" si="8"/>
        <v>77.928515563070874</v>
      </c>
      <c r="J15" s="41">
        <f t="shared" ca="1" si="8"/>
        <v>78.427204773168484</v>
      </c>
      <c r="K15" s="41">
        <f t="shared" ca="1" si="8"/>
        <v>77.803012762583066</v>
      </c>
      <c r="L15" s="41">
        <f t="shared" ca="1" si="8"/>
        <v>76.369354650259254</v>
      </c>
      <c r="M15" s="41">
        <f t="shared" ref="M15:O15" ca="1" si="9">M77/M40*1000*M42*(1+M47/100)</f>
        <v>74.560608345898387</v>
      </c>
      <c r="N15" s="41">
        <f t="shared" ca="1" si="9"/>
        <v>73.471014170535483</v>
      </c>
      <c r="O15" s="41">
        <f t="shared" ca="1" si="9"/>
        <v>72.540137402190439</v>
      </c>
    </row>
    <row r="16" spans="1:15" x14ac:dyDescent="0.2">
      <c r="A16" s="28" t="s">
        <v>116</v>
      </c>
      <c r="B16" s="26"/>
      <c r="C16" s="104"/>
      <c r="D16" s="108">
        <f>Chem!E28</f>
        <v>0</v>
      </c>
      <c r="E16" s="110">
        <f>Chem!E34</f>
        <v>1.95</v>
      </c>
      <c r="F16" s="42">
        <f t="shared" ref="F16:O18" ca="1" si="10">F$19*$D16/100</f>
        <v>0</v>
      </c>
      <c r="G16" s="42">
        <f t="shared" ca="1" si="10"/>
        <v>0</v>
      </c>
      <c r="H16" s="42">
        <f t="shared" ca="1" si="10"/>
        <v>0</v>
      </c>
      <c r="I16" s="42">
        <f t="shared" ca="1" si="10"/>
        <v>0</v>
      </c>
      <c r="J16" s="42">
        <f t="shared" ca="1" si="10"/>
        <v>0</v>
      </c>
      <c r="K16" s="42">
        <f t="shared" ca="1" si="10"/>
        <v>0</v>
      </c>
      <c r="L16" s="42">
        <f t="shared" ca="1" si="10"/>
        <v>0</v>
      </c>
      <c r="M16" s="42">
        <f t="shared" ca="1" si="10"/>
        <v>0</v>
      </c>
      <c r="N16" s="42">
        <f t="shared" ca="1" si="10"/>
        <v>0</v>
      </c>
      <c r="O16" s="42">
        <f t="shared" ca="1" si="10"/>
        <v>0</v>
      </c>
    </row>
    <row r="17" spans="1:17" x14ac:dyDescent="0.2">
      <c r="A17" s="28" t="s">
        <v>117</v>
      </c>
      <c r="B17" s="26"/>
      <c r="C17" s="104"/>
      <c r="D17" s="108">
        <f>Chem!E29</f>
        <v>0</v>
      </c>
      <c r="E17" s="110">
        <f>Chem!E35</f>
        <v>1.1000000000000001</v>
      </c>
      <c r="F17" s="42">
        <f t="shared" ca="1" si="10"/>
        <v>0</v>
      </c>
      <c r="G17" s="42">
        <f t="shared" ca="1" si="10"/>
        <v>0</v>
      </c>
      <c r="H17" s="42">
        <f t="shared" ca="1" si="10"/>
        <v>0</v>
      </c>
      <c r="I17" s="42">
        <f t="shared" ca="1" si="10"/>
        <v>0</v>
      </c>
      <c r="J17" s="42">
        <f t="shared" ca="1" si="10"/>
        <v>0</v>
      </c>
      <c r="K17" s="42">
        <f t="shared" ca="1" si="10"/>
        <v>0</v>
      </c>
      <c r="L17" s="42">
        <f t="shared" ca="1" si="10"/>
        <v>0</v>
      </c>
      <c r="M17" s="42">
        <f t="shared" ca="1" si="10"/>
        <v>0</v>
      </c>
      <c r="N17" s="42">
        <f t="shared" ca="1" si="10"/>
        <v>0</v>
      </c>
      <c r="O17" s="42">
        <f t="shared" ca="1" si="10"/>
        <v>0</v>
      </c>
    </row>
    <row r="18" spans="1:17" x14ac:dyDescent="0.2">
      <c r="A18" s="28" t="s">
        <v>118</v>
      </c>
      <c r="B18" s="31" t="s">
        <v>115</v>
      </c>
      <c r="C18" s="109">
        <f>Chem!E31</f>
        <v>0</v>
      </c>
      <c r="D18" s="32"/>
      <c r="E18" s="33"/>
      <c r="F18" s="43">
        <f t="shared" ca="1" si="10"/>
        <v>0</v>
      </c>
      <c r="G18" s="43">
        <f t="shared" ca="1" si="10"/>
        <v>0</v>
      </c>
      <c r="H18" s="43">
        <f t="shared" ca="1" si="10"/>
        <v>0</v>
      </c>
      <c r="I18" s="43">
        <f t="shared" ca="1" si="10"/>
        <v>0</v>
      </c>
      <c r="J18" s="43">
        <f t="shared" ca="1" si="10"/>
        <v>0</v>
      </c>
      <c r="K18" s="43">
        <f t="shared" ca="1" si="10"/>
        <v>0</v>
      </c>
      <c r="L18" s="43">
        <f t="shared" ca="1" si="10"/>
        <v>0</v>
      </c>
      <c r="M18" s="43">
        <f t="shared" ca="1" si="10"/>
        <v>0</v>
      </c>
      <c r="N18" s="43">
        <f t="shared" ca="1" si="10"/>
        <v>0</v>
      </c>
      <c r="O18" s="43">
        <f t="shared" ca="1" si="10"/>
        <v>0</v>
      </c>
    </row>
    <row r="19" spans="1:17" x14ac:dyDescent="0.2">
      <c r="A19" s="28" t="s">
        <v>119</v>
      </c>
      <c r="B19" s="26"/>
      <c r="C19" s="26"/>
      <c r="D19" s="30">
        <f>SUM(D15:D18)</f>
        <v>100</v>
      </c>
      <c r="E19" s="29">
        <f>(100-C18)/(D15/E15+D17/E17+D16/E16)</f>
        <v>0.53</v>
      </c>
      <c r="F19" s="42">
        <f t="shared" ref="F19:L19" ca="1" si="11">F15/$D15*100</f>
        <v>78.887267378317802</v>
      </c>
      <c r="G19" s="42">
        <f t="shared" ca="1" si="11"/>
        <v>78.668454081449937</v>
      </c>
      <c r="H19" s="42">
        <f t="shared" ca="1" si="11"/>
        <v>78.35424262790292</v>
      </c>
      <c r="I19" s="42">
        <f t="shared" ca="1" si="11"/>
        <v>77.928515563070874</v>
      </c>
      <c r="J19" s="42">
        <f t="shared" ca="1" si="11"/>
        <v>78.427204773168484</v>
      </c>
      <c r="K19" s="42">
        <f t="shared" ca="1" si="11"/>
        <v>77.803012762583066</v>
      </c>
      <c r="L19" s="42">
        <f t="shared" ca="1" si="11"/>
        <v>76.369354650259254</v>
      </c>
      <c r="M19" s="42">
        <f t="shared" ref="M19:O19" ca="1" si="12">M15/$D15*100</f>
        <v>74.560608345898387</v>
      </c>
      <c r="N19" s="42">
        <f t="shared" ca="1" si="12"/>
        <v>73.471014170535483</v>
      </c>
      <c r="O19" s="42">
        <f t="shared" ca="1" si="12"/>
        <v>72.540137402190439</v>
      </c>
    </row>
    <row r="20" spans="1:17" ht="15" x14ac:dyDescent="0.25">
      <c r="A20" s="326" t="s">
        <v>19</v>
      </c>
      <c r="B20" s="325"/>
      <c r="C20" s="44"/>
      <c r="D20" s="30" t="s">
        <v>4</v>
      </c>
      <c r="E20" s="29" t="s">
        <v>113</v>
      </c>
      <c r="F20" s="46"/>
      <c r="G20" s="42"/>
      <c r="H20" s="42"/>
      <c r="I20" s="42"/>
      <c r="J20" s="42"/>
      <c r="K20" s="42"/>
      <c r="L20" s="42"/>
      <c r="M20" s="42"/>
      <c r="N20" s="42"/>
      <c r="O20" s="42"/>
    </row>
    <row r="21" spans="1:17" ht="14.25" x14ac:dyDescent="0.2">
      <c r="A21" s="28" t="s">
        <v>5</v>
      </c>
      <c r="B21" s="26"/>
      <c r="C21" s="109" t="str">
        <f>IF(Chem!E37="aluminum","Al","Cu")</f>
        <v>Al</v>
      </c>
      <c r="D21" s="104">
        <f>Chem!E38</f>
        <v>20</v>
      </c>
      <c r="E21" s="110">
        <f>IF(C21="Al",2.7,8.92)</f>
        <v>2.7</v>
      </c>
      <c r="F21" s="46">
        <f ca="1">F104*((F105+2*'Flow and System'!C68)*(F106+2*'Flow and System'!C68)*'Flow and System'!C64+F107*F108)/1000000</f>
        <v>4.6235747237131761</v>
      </c>
      <c r="G21" s="46">
        <f ca="1">G104*((G105+2*'Flow and System'!D68)*(G106+2*'Flow and System'!D68)*'Flow and System'!D64+G107*G108)/1000000</f>
        <v>2.7235507292962602</v>
      </c>
      <c r="H21" s="46">
        <f ca="1">H104*((H105+2*'Flow and System'!E68)*(H106+2*'Flow and System'!E68)*'Flow and System'!E64+H107*H108)/1000000</f>
        <v>1.6730141275944965</v>
      </c>
      <c r="I21" s="46">
        <f ca="1">I104*((I105+2*'Flow and System'!F68)*(I106+2*'Flow and System'!F68)*'Flow and System'!F64+I107*I108)/1000000</f>
        <v>1.0887102594420097</v>
      </c>
      <c r="J21" s="46">
        <f ca="1">J104*((J105+2*'Flow and System'!G68)*(J106+2*'Flow and System'!G68)*'Flow and System'!G64+J107*J108)/1000000</f>
        <v>0.75440234850231991</v>
      </c>
      <c r="K21" s="46">
        <f ca="1">K104*((K105+2*'Flow and System'!H68)*(K106+2*'Flow and System'!H68)*'Flow and System'!H64+K107*K108)/1000000</f>
        <v>0.60650152906644694</v>
      </c>
      <c r="L21" s="46">
        <f ca="1">L104*((L105+2*'Flow and System'!I68)*(L106+2*'Flow and System'!I68)*'Flow and System'!I64+L107*L108)/1000000</f>
        <v>0.59520527236772502</v>
      </c>
      <c r="M21" s="46">
        <f ca="1">M104*((M105+2*'Flow and System'!J68)*(M106+2*'Flow and System'!J68)*'Flow and System'!J64+M107*M108)/1000000</f>
        <v>0.5793789898477677</v>
      </c>
      <c r="N21" s="46">
        <f ca="1">N104*((N105+2*'Flow and System'!K68)*(N106+2*'Flow and System'!K68)*'Flow and System'!K64+N107*N108)/1000000</f>
        <v>0.57086498680987274</v>
      </c>
      <c r="O21" s="46">
        <f ca="1">O104*((O105+2*'Flow and System'!L68)*(O106+2*'Flow and System'!L68)*'Flow and System'!L64+O107*O108)/1000000</f>
        <v>0.56358741061070083</v>
      </c>
      <c r="P21" s="427"/>
      <c r="Q21" s="427"/>
    </row>
    <row r="22" spans="1:17" ht="14.25" x14ac:dyDescent="0.2">
      <c r="A22" s="28" t="s">
        <v>6</v>
      </c>
      <c r="B22" s="26"/>
      <c r="C22" s="109" t="str">
        <f>IF(Chem!E40="aluminum","Al","Cu")</f>
        <v>Cu</v>
      </c>
      <c r="D22" s="104">
        <f>Chem!E41</f>
        <v>8</v>
      </c>
      <c r="E22" s="110">
        <f>IF(C22="Al",2.7,8.92)</f>
        <v>8.92</v>
      </c>
      <c r="F22" s="46">
        <f ca="1">(F104+1)*((F105+2*'Flow and System'!C68)*(F106+2*'Flow and System'!C68)+F107*F108)/1000000</f>
        <v>2.9562729986525889</v>
      </c>
      <c r="G22" s="46">
        <f ca="1">(G104+1)*((G105+2*'Flow and System'!D68)*(G106+2*'Flow and System'!D68)+G107*G108)/1000000</f>
        <v>1.7249200531681177</v>
      </c>
      <c r="H22" s="46">
        <f ca="1">(H104+1)*((H105+2*'Flow and System'!E68)*(H106+2*'Flow and System'!E68)+H107*H108)/1000000</f>
        <v>1.0604696196065608</v>
      </c>
      <c r="I22" s="46">
        <f ca="1">(I104+1)*((I105+2*'Flow and System'!F68)*(I106+2*'Flow and System'!F68)+I107*I108)/1000000</f>
        <v>0.69756165107330947</v>
      </c>
      <c r="J22" s="46">
        <f ca="1">(J104+1)*((J105+2*'Flow and System'!G68)*(J106+2*'Flow and System'!G68)+J107*J108)/1000000</f>
        <v>0.4947154567038643</v>
      </c>
      <c r="K22" s="46">
        <f ca="1">(K104+1)*((K105+2*'Flow and System'!H68)*(K106+2*'Flow and System'!H68)+K107*K108)/1000000</f>
        <v>0.40252856674186149</v>
      </c>
      <c r="L22" s="46">
        <f ca="1">(L104+1)*((L105+2*'Flow and System'!I68)*(L106+2*'Flow and System'!I68)+L107*L108)/1000000</f>
        <v>0.39557198508745162</v>
      </c>
      <c r="M22" s="46">
        <f ca="1">(M104+1)*((M105+2*'Flow and System'!J68)*(M106+2*'Flow and System'!J68)+M107*M108)/1000000</f>
        <v>0.39112682645816255</v>
      </c>
      <c r="N22" s="46">
        <f ca="1">(N104+1)*((N105+2*'Flow and System'!K68)*(N106+2*'Flow and System'!K68)+N107*N108)/1000000</f>
        <v>0.38574859865070882</v>
      </c>
      <c r="O22" s="46">
        <f ca="1">(O104+1)*((O105+2*'Flow and System'!L68)*(O106+2*'Flow and System'!L68)+O107*O108)/1000000</f>
        <v>0.38115188361526298</v>
      </c>
      <c r="P22" s="427"/>
      <c r="Q22" s="427"/>
    </row>
    <row r="23" spans="1:17" ht="14.25" x14ac:dyDescent="0.2">
      <c r="A23" s="28" t="s">
        <v>7</v>
      </c>
      <c r="B23" s="26"/>
      <c r="C23" s="26"/>
      <c r="D23" s="108">
        <f>Chem!E43</f>
        <v>20</v>
      </c>
      <c r="E23" s="111">
        <f>Chem!E45</f>
        <v>4</v>
      </c>
      <c r="F23" s="46">
        <f ca="1">2*F104*F105*F106/1000000</f>
        <v>5.1278556462861484</v>
      </c>
      <c r="G23" s="46">
        <f t="shared" ref="G23:O23" ca="1" si="13">2*G104*G105*G106/1000000</f>
        <v>2.9507019914748605</v>
      </c>
      <c r="H23" s="46">
        <f ca="1">2*H104*H105*H106/1000000</f>
        <v>1.7762263643046097</v>
      </c>
      <c r="I23" s="46">
        <f t="shared" ca="1" si="13"/>
        <v>1.1355659756054195</v>
      </c>
      <c r="J23" s="46">
        <f t="shared" ca="1" si="13"/>
        <v>0.7767199858220426</v>
      </c>
      <c r="K23" s="46">
        <f t="shared" ca="1" si="13"/>
        <v>0.61854156428178775</v>
      </c>
      <c r="L23" s="46">
        <f t="shared" ca="1" si="13"/>
        <v>0.60714384200915472</v>
      </c>
      <c r="M23" s="46">
        <f t="shared" ca="1" si="13"/>
        <v>0.59276413190843869</v>
      </c>
      <c r="N23" s="46">
        <f t="shared" ca="1" si="13"/>
        <v>0.58410175160039202</v>
      </c>
      <c r="O23" s="46">
        <f t="shared" ca="1" si="13"/>
        <v>0.57670119020821653</v>
      </c>
      <c r="P23" s="427"/>
      <c r="Q23" s="427"/>
    </row>
    <row r="24" spans="1:17" x14ac:dyDescent="0.2">
      <c r="A24" s="7" t="s">
        <v>8</v>
      </c>
      <c r="B24" s="26"/>
      <c r="C24" s="26"/>
      <c r="D24" s="108"/>
      <c r="E24" s="110">
        <f>Chem!E46</f>
        <v>1.2</v>
      </c>
      <c r="F24" s="47">
        <f ca="1">(F11/'Battery Design'!$E11*$C10/100+F19/$E19*$C18/100+F23*$D23*Chem!$E44/100+F33*F105*F106/1000*0.02)/1000</f>
        <v>4.2105813582832267E-2</v>
      </c>
      <c r="G24" s="47">
        <f ca="1">(G11/$E11*$C10/100+G19/$E19*$C18/100+G23*$D23*Chem!$E44/100+G33*G105*G106/1000*0.02)/1000</f>
        <v>4.0015879825920059E-2</v>
      </c>
      <c r="H24" s="47">
        <f ca="1">(H11/$E11*$C10/100+H19/$E19*$C18/100+H23*$D23*Chem!$E44/100+H33*H105*H106/1000*0.02)/1000</f>
        <v>3.875366573730156E-2</v>
      </c>
      <c r="I24" s="47">
        <f ca="1">(I11/$E11*$C10/100+I19/$E19*$C18/100+I23*$D23*Chem!$E44/100+I33*I105*I106/1000*0.02)/1000</f>
        <v>3.7904052360234253E-2</v>
      </c>
      <c r="J24" s="47">
        <f ca="1">(J11/$E11*$C10/100+J19/$E19*$C18/100+J23*$D23*Chem!$E44/100+J33*J105*J106/1000*0.02)/1000</f>
        <v>3.7776053155302199E-2</v>
      </c>
      <c r="K24" s="47">
        <f ca="1">(K11/$E11*$C10/100+K19/$E19*$C18/100+K23*$D23*Chem!$E44/100+K33*K105*K106/1000*0.02)/1000</f>
        <v>3.7286154583003536E-2</v>
      </c>
      <c r="L24" s="47">
        <f ca="1">(L11/$E11*$C10/100+L19/$E19*$C18/100+L23*$D23*Chem!$E44/100+L33*L105*L106/1000*0.02)/1000</f>
        <v>3.6595152229996368E-2</v>
      </c>
      <c r="M24" s="47">
        <f ca="1">(M11/$E11*$C10/100+M19/$E19*$C18/100+M23*$D23*Chem!$E44/100+M33*M105*M106/1000*0.02)/1000</f>
        <v>3.5771443140043893E-2</v>
      </c>
      <c r="N24" s="47">
        <f ca="1">(N11/$E11*$C10/100+N19/$E19*$C18/100+N23*$D23*Chem!$E44/100+N33*N105*N106/1000*0.02)/1000</f>
        <v>3.5245921203478699E-2</v>
      </c>
      <c r="O24" s="47">
        <f ca="1">(O11/$E11*$C10/100+O19/$E19*$C18/100+O23*$D23*Chem!$E44/100+O33*O105*O106/1000*0.02)/1000</f>
        <v>3.4796975311419009E-2</v>
      </c>
      <c r="Q24" s="427"/>
    </row>
    <row r="25" spans="1:17" x14ac:dyDescent="0.2">
      <c r="A25" s="45" t="s">
        <v>16</v>
      </c>
      <c r="B25" s="26"/>
      <c r="C25" s="26"/>
      <c r="D25" s="215"/>
      <c r="E25" s="434">
        <v>5.8414092591004225</v>
      </c>
      <c r="F25" s="49">
        <f t="shared" ref="F25:L25" ca="1" si="14">$E21*(F109*F35*F108)/1000</f>
        <v>2.2482585707284377</v>
      </c>
      <c r="G25" s="49">
        <f t="shared" ca="1" si="14"/>
        <v>2.2453398363603001</v>
      </c>
      <c r="H25" s="49">
        <f t="shared" ca="1" si="14"/>
        <v>2.2490180318812025</v>
      </c>
      <c r="I25" s="49">
        <f t="shared" ca="1" si="14"/>
        <v>2.2023969491397728</v>
      </c>
      <c r="J25" s="49">
        <f t="shared" ca="1" si="14"/>
        <v>2.2308341320644205</v>
      </c>
      <c r="K25" s="49">
        <f t="shared" ca="1" si="14"/>
        <v>2.1282147960006483</v>
      </c>
      <c r="L25" s="49">
        <f t="shared" ca="1" si="14"/>
        <v>2.1085155649764218</v>
      </c>
      <c r="M25" s="49">
        <f t="shared" ref="M25:O25" ca="1" si="15">$E21*(M109*M35*M108)/1000</f>
        <v>2.2503256331061667</v>
      </c>
      <c r="N25" s="49">
        <f t="shared" ca="1" si="15"/>
        <v>2.2338225110206076</v>
      </c>
      <c r="O25" s="49">
        <f t="shared" ca="1" si="15"/>
        <v>2.2196261500614467</v>
      </c>
      <c r="Q25" s="427"/>
    </row>
    <row r="26" spans="1:17" x14ac:dyDescent="0.2">
      <c r="A26" s="45" t="s">
        <v>17</v>
      </c>
      <c r="B26" s="26"/>
      <c r="C26" s="26"/>
      <c r="D26" s="156"/>
      <c r="E26" s="120"/>
      <c r="F26" s="49">
        <f ca="1">$E22*(F109*F35*F108)/1000</f>
        <v>7.4275801669991353</v>
      </c>
      <c r="G26" s="49">
        <f t="shared" ref="G26:L26" ca="1" si="16">$E22*(G109*G35*G108)/1000</f>
        <v>7.4179375334569917</v>
      </c>
      <c r="H26" s="49">
        <f t="shared" ca="1" si="16"/>
        <v>7.4300892016223434</v>
      </c>
      <c r="I26" s="49">
        <f t="shared" ca="1" si="16"/>
        <v>7.2760669578988058</v>
      </c>
      <c r="J26" s="49">
        <f t="shared" ca="1" si="16"/>
        <v>7.3700149844498615</v>
      </c>
      <c r="K26" s="49">
        <f t="shared" ca="1" si="16"/>
        <v>7.0309911038243635</v>
      </c>
      <c r="L26" s="49">
        <f t="shared" ca="1" si="16"/>
        <v>6.965910681329512</v>
      </c>
      <c r="M26" s="49">
        <f t="shared" ref="M26:O26" ca="1" si="17">$E22*(M109*M35*M108)/1000</f>
        <v>7.4344091286322245</v>
      </c>
      <c r="N26" s="49">
        <f t="shared" ca="1" si="17"/>
        <v>7.3798877030754877</v>
      </c>
      <c r="O26" s="49">
        <f t="shared" ca="1" si="17"/>
        <v>7.3329871327955933</v>
      </c>
      <c r="Q26" s="427"/>
    </row>
    <row r="27" spans="1:17" x14ac:dyDescent="0.2">
      <c r="A27" s="48" t="s">
        <v>368</v>
      </c>
      <c r="B27" s="26"/>
      <c r="C27" s="26"/>
      <c r="D27" s="156"/>
      <c r="E27" s="120"/>
      <c r="F27" s="214">
        <v>100</v>
      </c>
      <c r="G27" s="214">
        <v>100</v>
      </c>
      <c r="H27" s="214">
        <v>100</v>
      </c>
      <c r="I27" s="214">
        <v>100</v>
      </c>
      <c r="J27" s="214">
        <v>100</v>
      </c>
      <c r="K27" s="214">
        <v>100</v>
      </c>
      <c r="L27" s="214">
        <v>100</v>
      </c>
      <c r="M27" s="214">
        <v>100</v>
      </c>
      <c r="N27" s="214">
        <v>100</v>
      </c>
      <c r="O27" s="214">
        <v>100</v>
      </c>
      <c r="Q27" s="427"/>
    </row>
    <row r="28" spans="1:17" x14ac:dyDescent="0.2">
      <c r="A28" s="48" t="s">
        <v>369</v>
      </c>
      <c r="B28" s="26"/>
      <c r="C28" s="26"/>
      <c r="D28" s="156"/>
      <c r="E28" s="120"/>
      <c r="F28" s="50">
        <f t="shared" ref="F28:K28" si="18">30+F27+20</f>
        <v>150</v>
      </c>
      <c r="G28" s="50">
        <f t="shared" si="18"/>
        <v>150</v>
      </c>
      <c r="H28" s="50">
        <f t="shared" si="18"/>
        <v>150</v>
      </c>
      <c r="I28" s="50">
        <f t="shared" si="18"/>
        <v>150</v>
      </c>
      <c r="J28" s="50">
        <f t="shared" si="18"/>
        <v>150</v>
      </c>
      <c r="K28" s="50">
        <f t="shared" si="18"/>
        <v>150</v>
      </c>
      <c r="L28" s="50">
        <f t="shared" ref="L28:M28" si="19">30+L27+20</f>
        <v>150</v>
      </c>
      <c r="M28" s="50">
        <f t="shared" si="19"/>
        <v>150</v>
      </c>
      <c r="N28" s="50">
        <f t="shared" ref="N28:O28" si="20">30+N27+20</f>
        <v>150</v>
      </c>
      <c r="O28" s="50">
        <f t="shared" si="20"/>
        <v>150</v>
      </c>
      <c r="Q28" s="427"/>
    </row>
    <row r="29" spans="1:17" x14ac:dyDescent="0.2">
      <c r="A29" s="48" t="s">
        <v>367</v>
      </c>
      <c r="B29" s="26"/>
      <c r="C29" s="26"/>
      <c r="D29" s="156"/>
      <c r="E29" s="120"/>
      <c r="F29" s="49">
        <f t="shared" ref="F29:K29" si="21">(30*1.4+F27*2.7+20*0.9)/F28</f>
        <v>2.2000000000000002</v>
      </c>
      <c r="G29" s="49">
        <f t="shared" si="21"/>
        <v>2.2000000000000002</v>
      </c>
      <c r="H29" s="49">
        <f t="shared" si="21"/>
        <v>2.2000000000000002</v>
      </c>
      <c r="I29" s="49">
        <f t="shared" si="21"/>
        <v>2.2000000000000002</v>
      </c>
      <c r="J29" s="49">
        <f t="shared" si="21"/>
        <v>2.2000000000000002</v>
      </c>
      <c r="K29" s="49">
        <f t="shared" si="21"/>
        <v>2.2000000000000002</v>
      </c>
      <c r="L29" s="49">
        <f t="shared" ref="L29:M29" si="22">(30*1.4+L27*2.7+20*0.9)/L28</f>
        <v>2.2000000000000002</v>
      </c>
      <c r="M29" s="49">
        <f t="shared" si="22"/>
        <v>2.2000000000000002</v>
      </c>
      <c r="N29" s="49">
        <f t="shared" ref="N29:O29" si="23">(30*1.4+N27*2.7+20*0.9)/N28</f>
        <v>2.2000000000000002</v>
      </c>
      <c r="O29" s="49">
        <f t="shared" si="23"/>
        <v>2.2000000000000002</v>
      </c>
      <c r="Q29" s="427"/>
    </row>
    <row r="30" spans="1:17" x14ac:dyDescent="0.2">
      <c r="A30" s="45" t="s">
        <v>366</v>
      </c>
      <c r="B30" s="26"/>
      <c r="C30" s="26"/>
      <c r="D30" s="156"/>
      <c r="E30" s="120"/>
      <c r="F30" s="49">
        <f ca="1">(F110+2*F33+6)*(F111-6)*F28*2/1000*F29/1000</f>
        <v>42.208917941861664</v>
      </c>
      <c r="G30" s="49">
        <f t="shared" ref="G30:L30" ca="1" si="24">(G110+2*G33+6)*(G111-6)*G28*2/1000*G29/1000</f>
        <v>41.434380368747831</v>
      </c>
      <c r="H30" s="49">
        <f t="shared" ca="1" si="24"/>
        <v>41.173899510907653</v>
      </c>
      <c r="I30" s="49">
        <f t="shared" ca="1" si="24"/>
        <v>39.546359804092411</v>
      </c>
      <c r="J30" s="49">
        <f t="shared" ca="1" si="24"/>
        <v>40.29248408142746</v>
      </c>
      <c r="K30" s="49">
        <f t="shared" ca="1" si="24"/>
        <v>37.176008637291126</v>
      </c>
      <c r="L30" s="49">
        <f t="shared" ca="1" si="24"/>
        <v>36.56746115081468</v>
      </c>
      <c r="M30" s="49">
        <f t="shared" ref="M30:O30" ca="1" si="25">(M110+2*M33+6)*(M111-6)*M28*2/1000*M29/1000</f>
        <v>40.732494010329866</v>
      </c>
      <c r="N30" s="49">
        <f t="shared" ca="1" si="25"/>
        <v>40.198763073995487</v>
      </c>
      <c r="O30" s="49">
        <f t="shared" ca="1" si="25"/>
        <v>39.742443289739157</v>
      </c>
      <c r="Q30" s="427"/>
    </row>
    <row r="31" spans="1:17" x14ac:dyDescent="0.2">
      <c r="A31" s="48" t="s">
        <v>15</v>
      </c>
      <c r="B31" s="26"/>
      <c r="C31" s="26"/>
      <c r="D31" s="30"/>
      <c r="E31" s="34"/>
      <c r="F31" s="50">
        <f ca="1">F12+F19+F21*$D21*$E21+F22*$D22*$E22+F23*$D23*$E23+F24*$E24*1000+F25+F26+F30</f>
        <v>1196.1712020563216</v>
      </c>
      <c r="G31" s="50">
        <f t="shared" ref="G31:O31" ca="1" si="26">G12+G19+G21*$D21*$E21+G22*$D22*$E22+G23*$D23*$E23+G24*$E24*1000+G25+G26+G30</f>
        <v>827.61498479764941</v>
      </c>
      <c r="H31" s="50">
        <f t="shared" ca="1" si="26"/>
        <v>626.86565340229163</v>
      </c>
      <c r="I31" s="50">
        <f t="shared" ca="1" si="26"/>
        <v>514.11267710954712</v>
      </c>
      <c r="J31" s="50">
        <f t="shared" ca="1" si="26"/>
        <v>455.00123807390673</v>
      </c>
      <c r="K31" s="50">
        <f t="shared" ca="1" si="26"/>
        <v>421.87219343013345</v>
      </c>
      <c r="L31" s="50">
        <f t="shared" ca="1" si="26"/>
        <v>414.2805821406626</v>
      </c>
      <c r="M31" s="50">
        <f t="shared" ca="1" si="26"/>
        <v>410.63460306658675</v>
      </c>
      <c r="N31" s="50">
        <f t="shared" ca="1" si="26"/>
        <v>404.78400329628118</v>
      </c>
      <c r="O31" s="50">
        <f t="shared" ca="1" si="26"/>
        <v>399.78457565792121</v>
      </c>
      <c r="P31" s="427"/>
      <c r="Q31" s="427"/>
    </row>
    <row r="32" spans="1:17" x14ac:dyDescent="0.2">
      <c r="A32" s="48" t="s">
        <v>302</v>
      </c>
      <c r="B32" s="26"/>
      <c r="C32" s="26"/>
      <c r="D32" s="175"/>
      <c r="E32" s="34"/>
      <c r="F32" s="187">
        <f>'Flow and System'!C43</f>
        <v>1</v>
      </c>
      <c r="G32" s="187">
        <f>'Flow and System'!D43</f>
        <v>1</v>
      </c>
      <c r="H32" s="187">
        <f>'Flow and System'!E43</f>
        <v>1</v>
      </c>
      <c r="I32" s="187">
        <f>'Flow and System'!F43</f>
        <v>1</v>
      </c>
      <c r="J32" s="187">
        <f>'Flow and System'!G43</f>
        <v>1</v>
      </c>
      <c r="K32" s="187">
        <f>'Flow and System'!H43</f>
        <v>1</v>
      </c>
      <c r="L32" s="187">
        <f>'Flow and System'!I43</f>
        <v>1</v>
      </c>
      <c r="M32" s="187">
        <f>'Flow and System'!J43</f>
        <v>1</v>
      </c>
      <c r="N32" s="187">
        <f>'Flow and System'!K43</f>
        <v>1</v>
      </c>
      <c r="O32" s="187">
        <f>'Flow and System'!L43</f>
        <v>1</v>
      </c>
      <c r="P32" s="427"/>
      <c r="Q32" s="427"/>
    </row>
    <row r="33" spans="1:17" x14ac:dyDescent="0.2">
      <c r="A33" s="48" t="s">
        <v>239</v>
      </c>
      <c r="B33" s="26"/>
      <c r="C33" s="26"/>
      <c r="D33" s="175"/>
      <c r="F33" s="186">
        <f ca="1">F112</f>
        <v>10.898949950603642</v>
      </c>
      <c r="G33" s="186">
        <f t="shared" ref="G33:O33" ca="1" si="27">G112</f>
        <v>8.8908854355213229</v>
      </c>
      <c r="H33" s="186">
        <f t="shared" ca="1" si="27"/>
        <v>7.7092920103283946</v>
      </c>
      <c r="I33" s="186">
        <f t="shared" ca="1" si="27"/>
        <v>7.3201413051308846</v>
      </c>
      <c r="J33" s="186">
        <f t="shared" ca="1" si="27"/>
        <v>6.7986977893892577</v>
      </c>
      <c r="K33" s="186">
        <f t="shared" ca="1" si="27"/>
        <v>7.1965308643564674</v>
      </c>
      <c r="L33" s="186">
        <f t="shared" ca="1" si="27"/>
        <v>7.1919894241674527</v>
      </c>
      <c r="M33" s="186">
        <f t="shared" ca="1" si="27"/>
        <v>6.2081049251839611</v>
      </c>
      <c r="N33" s="186">
        <f t="shared" ca="1" si="27"/>
        <v>6.2052547593713276</v>
      </c>
      <c r="O33" s="186">
        <f t="shared" ca="1" si="27"/>
        <v>6.2027780440567302</v>
      </c>
      <c r="P33" s="427"/>
      <c r="Q33" s="427"/>
    </row>
    <row r="34" spans="1:17" x14ac:dyDescent="0.2">
      <c r="A34" s="48" t="s">
        <v>357</v>
      </c>
      <c r="B34" s="26"/>
      <c r="C34" s="26"/>
      <c r="D34" s="175"/>
      <c r="F34" s="186">
        <v>0</v>
      </c>
      <c r="G34" s="186">
        <v>0</v>
      </c>
      <c r="H34" s="186">
        <v>0</v>
      </c>
      <c r="I34" s="186">
        <v>0</v>
      </c>
      <c r="J34" s="186">
        <v>0</v>
      </c>
      <c r="K34" s="186">
        <v>0</v>
      </c>
      <c r="L34" s="186">
        <v>0</v>
      </c>
      <c r="M34" s="186">
        <v>0</v>
      </c>
      <c r="N34" s="186">
        <v>0</v>
      </c>
      <c r="O34" s="186">
        <v>0</v>
      </c>
      <c r="P34" s="427"/>
      <c r="Q34" s="427"/>
    </row>
    <row r="35" spans="1:17" x14ac:dyDescent="0.2">
      <c r="A35" s="48" t="s">
        <v>301</v>
      </c>
      <c r="C35" s="4"/>
      <c r="F35" s="188">
        <v>1</v>
      </c>
      <c r="G35" s="188">
        <v>1</v>
      </c>
      <c r="H35" s="188">
        <v>1</v>
      </c>
      <c r="I35" s="188">
        <v>1</v>
      </c>
      <c r="J35" s="188">
        <v>1</v>
      </c>
      <c r="K35" s="188">
        <v>1</v>
      </c>
      <c r="L35" s="188">
        <v>1</v>
      </c>
      <c r="M35" s="188">
        <v>1</v>
      </c>
      <c r="N35" s="188">
        <v>1</v>
      </c>
      <c r="O35" s="188">
        <v>1</v>
      </c>
    </row>
    <row r="36" spans="1:17" x14ac:dyDescent="0.2">
      <c r="A36" s="48" t="s">
        <v>310</v>
      </c>
      <c r="C36" s="4"/>
      <c r="F36" s="192">
        <v>0</v>
      </c>
      <c r="G36" s="192">
        <v>0</v>
      </c>
      <c r="H36" s="192">
        <v>0</v>
      </c>
      <c r="I36" s="192">
        <v>0</v>
      </c>
      <c r="J36" s="192">
        <v>0</v>
      </c>
      <c r="K36" s="192">
        <v>0</v>
      </c>
      <c r="L36" s="192">
        <v>0</v>
      </c>
      <c r="M36" s="192">
        <v>0</v>
      </c>
      <c r="N36" s="192">
        <v>0</v>
      </c>
      <c r="O36" s="192">
        <v>0</v>
      </c>
      <c r="P36" s="427"/>
    </row>
    <row r="37" spans="1:17" ht="15" x14ac:dyDescent="0.25">
      <c r="A37" s="327" t="s">
        <v>13</v>
      </c>
      <c r="B37" s="325"/>
      <c r="C37" s="325"/>
      <c r="D37" s="30"/>
      <c r="E37" s="34"/>
      <c r="F37" s="42"/>
      <c r="G37" s="42"/>
      <c r="H37" s="42"/>
      <c r="I37" s="42"/>
      <c r="J37" s="42"/>
      <c r="K37" s="42"/>
      <c r="L37" s="42"/>
      <c r="M37" s="42"/>
      <c r="N37" s="42"/>
      <c r="O37" s="42"/>
    </row>
    <row r="38" spans="1:17" x14ac:dyDescent="0.2">
      <c r="A38" t="s">
        <v>9</v>
      </c>
      <c r="E38" s="34"/>
      <c r="F38" s="104">
        <f>Chem!$E7</f>
        <v>1168</v>
      </c>
      <c r="G38" s="104">
        <f>Chem!$E7</f>
        <v>1168</v>
      </c>
      <c r="H38" s="104">
        <f>Chem!$E7</f>
        <v>1168</v>
      </c>
      <c r="I38" s="104">
        <f>Chem!$E7</f>
        <v>1168</v>
      </c>
      <c r="J38" s="104">
        <f>Chem!$E7</f>
        <v>1168</v>
      </c>
      <c r="K38" s="104">
        <f>Chem!$E7</f>
        <v>1168</v>
      </c>
      <c r="L38" s="104">
        <f>Chem!$E7</f>
        <v>1168</v>
      </c>
      <c r="M38" s="104">
        <f>Chem!$E7</f>
        <v>1168</v>
      </c>
      <c r="N38" s="104">
        <f>Chem!$E7</f>
        <v>1168</v>
      </c>
      <c r="O38" s="104">
        <f>Chem!$E7</f>
        <v>1168</v>
      </c>
    </row>
    <row r="39" spans="1:17" ht="14.25" x14ac:dyDescent="0.2">
      <c r="A39" s="22" t="s">
        <v>10</v>
      </c>
      <c r="B39" s="17"/>
      <c r="C39" s="17"/>
      <c r="E39" s="34"/>
      <c r="F39" s="21">
        <f>F38/1000*$D6/100*$E11</f>
        <v>1.6188480000000001</v>
      </c>
      <c r="G39" s="21">
        <f t="shared" ref="G39:J39" si="28">G38/1000*$D6/100*$E11</f>
        <v>1.6188480000000001</v>
      </c>
      <c r="H39" s="21">
        <f t="shared" si="28"/>
        <v>1.6188480000000001</v>
      </c>
      <c r="I39" s="21">
        <f t="shared" si="28"/>
        <v>1.6188480000000001</v>
      </c>
      <c r="J39" s="21">
        <f t="shared" si="28"/>
        <v>1.6188480000000001</v>
      </c>
      <c r="K39" s="21">
        <f t="shared" ref="K39:L39" si="29">K38/1000*$D6/100*$E11</f>
        <v>1.6188480000000001</v>
      </c>
      <c r="L39" s="21">
        <f t="shared" si="29"/>
        <v>1.6188480000000001</v>
      </c>
      <c r="M39" s="21">
        <f t="shared" ref="M39:O39" si="30">M38/1000*$D6/100*$E11</f>
        <v>1.6188480000000001</v>
      </c>
      <c r="N39" s="21">
        <f t="shared" si="30"/>
        <v>1.6188480000000001</v>
      </c>
      <c r="O39" s="21">
        <f t="shared" si="30"/>
        <v>1.6188480000000001</v>
      </c>
    </row>
    <row r="40" spans="1:17" x14ac:dyDescent="0.2">
      <c r="A40" t="s">
        <v>11</v>
      </c>
      <c r="B40" s="26"/>
      <c r="C40" s="26"/>
      <c r="E40" s="26"/>
      <c r="F40" s="109">
        <f>Chem!$E25</f>
        <v>3861</v>
      </c>
      <c r="G40" s="109">
        <f>Chem!$E25</f>
        <v>3861</v>
      </c>
      <c r="H40" s="109">
        <f>Chem!$E25</f>
        <v>3861</v>
      </c>
      <c r="I40" s="109">
        <f>Chem!$E25</f>
        <v>3861</v>
      </c>
      <c r="J40" s="109">
        <f>Chem!$E25</f>
        <v>3861</v>
      </c>
      <c r="K40" s="109">
        <f>Chem!$E25</f>
        <v>3861</v>
      </c>
      <c r="L40" s="109">
        <f>Chem!$E25</f>
        <v>3861</v>
      </c>
      <c r="M40" s="109">
        <f>Chem!$E25</f>
        <v>3861</v>
      </c>
      <c r="N40" s="109">
        <f>Chem!$E25</f>
        <v>3861</v>
      </c>
      <c r="O40" s="109">
        <f>Chem!$E25</f>
        <v>3861</v>
      </c>
    </row>
    <row r="41" spans="1:17" ht="14.25" x14ac:dyDescent="0.2">
      <c r="A41" s="22" t="s">
        <v>12</v>
      </c>
      <c r="B41" s="26"/>
      <c r="C41" s="26"/>
      <c r="E41" s="26"/>
      <c r="F41" s="29">
        <f t="shared" ref="F41:K41" si="31">F40/1000*$D15/100*$E19</f>
        <v>2.0463300000000002</v>
      </c>
      <c r="G41" s="29">
        <f t="shared" si="31"/>
        <v>2.0463300000000002</v>
      </c>
      <c r="H41" s="29">
        <f t="shared" si="31"/>
        <v>2.0463300000000002</v>
      </c>
      <c r="I41" s="29">
        <f t="shared" si="31"/>
        <v>2.0463300000000002</v>
      </c>
      <c r="J41" s="29">
        <f t="shared" si="31"/>
        <v>2.0463300000000002</v>
      </c>
      <c r="K41" s="29">
        <f t="shared" si="31"/>
        <v>2.0463300000000002</v>
      </c>
      <c r="L41" s="29">
        <f t="shared" ref="L41:M41" si="32">L40/1000*$D15/100*$E19</f>
        <v>2.0463300000000002</v>
      </c>
      <c r="M41" s="29">
        <f t="shared" si="32"/>
        <v>2.0463300000000002</v>
      </c>
      <c r="N41" s="29">
        <f t="shared" ref="N41:O41" si="33">N40/1000*$D15/100*$E19</f>
        <v>2.0463300000000002</v>
      </c>
      <c r="O41" s="29">
        <f t="shared" si="33"/>
        <v>2.0463300000000002</v>
      </c>
    </row>
    <row r="42" spans="1:17" x14ac:dyDescent="0.2">
      <c r="A42" s="28" t="s">
        <v>157</v>
      </c>
      <c r="B42" s="26"/>
      <c r="C42" s="26"/>
      <c r="E42" s="26"/>
      <c r="F42" s="110">
        <f>Chem!$E24</f>
        <v>1.5</v>
      </c>
      <c r="G42" s="110">
        <f>Chem!$E24</f>
        <v>1.5</v>
      </c>
      <c r="H42" s="110">
        <f>Chem!$E24</f>
        <v>1.5</v>
      </c>
      <c r="I42" s="110">
        <f>Chem!$E24</f>
        <v>1.5</v>
      </c>
      <c r="J42" s="110">
        <f>Chem!$E24</f>
        <v>1.5</v>
      </c>
      <c r="K42" s="110">
        <f>Chem!$E24</f>
        <v>1.5</v>
      </c>
      <c r="L42" s="110">
        <f>Chem!$E24</f>
        <v>1.5</v>
      </c>
      <c r="M42" s="110">
        <f>Chem!$E24</f>
        <v>1.5</v>
      </c>
      <c r="N42" s="110">
        <f>Chem!$E24</f>
        <v>1.5</v>
      </c>
      <c r="O42" s="110">
        <f>Chem!$E24</f>
        <v>1.5</v>
      </c>
    </row>
    <row r="43" spans="1:17" ht="15" x14ac:dyDescent="0.25">
      <c r="A43" s="326" t="s">
        <v>14</v>
      </c>
      <c r="B43" s="325"/>
      <c r="C43" s="325"/>
      <c r="D43" s="329"/>
      <c r="E43" s="17"/>
      <c r="F43" s="28"/>
      <c r="G43" s="22"/>
      <c r="H43" s="22"/>
      <c r="I43" s="22"/>
      <c r="J43" s="22"/>
      <c r="K43" s="22"/>
      <c r="L43" s="22"/>
      <c r="M43" s="22"/>
      <c r="N43" s="22"/>
      <c r="O43" s="22"/>
    </row>
    <row r="44" spans="1:17" x14ac:dyDescent="0.2">
      <c r="A44" t="s">
        <v>385</v>
      </c>
      <c r="E44" s="3"/>
      <c r="F44" s="104">
        <f>Chem!$E48</f>
        <v>2.96</v>
      </c>
      <c r="G44" s="104">
        <f>Chem!$E48</f>
        <v>2.96</v>
      </c>
      <c r="H44" s="104">
        <f>Chem!$E48</f>
        <v>2.96</v>
      </c>
      <c r="I44" s="104">
        <f>Chem!$E48</f>
        <v>2.96</v>
      </c>
      <c r="J44" s="104">
        <f>Chem!$E48</f>
        <v>2.96</v>
      </c>
      <c r="K44" s="104">
        <f>Chem!$E48</f>
        <v>2.96</v>
      </c>
      <c r="L44" s="104">
        <f>Chem!$E48</f>
        <v>2.96</v>
      </c>
      <c r="M44" s="104">
        <f>Chem!$E48</f>
        <v>2.96</v>
      </c>
      <c r="N44" s="104">
        <f>Chem!$E48</f>
        <v>2.96</v>
      </c>
      <c r="O44" s="104">
        <f>Chem!$E48</f>
        <v>2.96</v>
      </c>
    </row>
    <row r="45" spans="1:17" x14ac:dyDescent="0.2">
      <c r="A45" s="22" t="s">
        <v>238</v>
      </c>
      <c r="B45" s="17"/>
      <c r="C45" s="17"/>
      <c r="D45" s="17"/>
      <c r="E45" s="17"/>
      <c r="F45" s="173">
        <f>Chem!$E49</f>
        <v>2.96</v>
      </c>
      <c r="G45" s="173">
        <f>Chem!$E49</f>
        <v>2.96</v>
      </c>
      <c r="H45" s="173">
        <f>Chem!$E49</f>
        <v>2.96</v>
      </c>
      <c r="I45" s="173">
        <f>Chem!$E49</f>
        <v>2.96</v>
      </c>
      <c r="J45" s="173">
        <f>Chem!$E49</f>
        <v>2.96</v>
      </c>
      <c r="K45" s="173">
        <f>Chem!$E49</f>
        <v>2.96</v>
      </c>
      <c r="L45" s="173">
        <f>Chem!$E49</f>
        <v>2.96</v>
      </c>
      <c r="M45" s="173">
        <f>Chem!$E49</f>
        <v>2.96</v>
      </c>
      <c r="N45" s="173">
        <f>Chem!$E49</f>
        <v>2.96</v>
      </c>
      <c r="O45" s="173">
        <f>Chem!$E49</f>
        <v>2.96</v>
      </c>
    </row>
    <row r="46" spans="1:17" ht="14.25" x14ac:dyDescent="0.2">
      <c r="A46" s="23" t="s">
        <v>1</v>
      </c>
      <c r="E46" s="6"/>
      <c r="F46" s="112">
        <f>Chem!$E$62</f>
        <v>58.52000000000001</v>
      </c>
      <c r="G46" s="112">
        <f>Chem!$E$62</f>
        <v>58.52000000000001</v>
      </c>
      <c r="H46" s="112">
        <f>Chem!$E$62</f>
        <v>58.52000000000001</v>
      </c>
      <c r="I46" s="112">
        <f>Chem!$E$62</f>
        <v>58.52000000000001</v>
      </c>
      <c r="J46" s="112">
        <f>Chem!$E$62</f>
        <v>58.52000000000001</v>
      </c>
      <c r="K46" s="112">
        <f>Chem!$E$62</f>
        <v>58.52000000000001</v>
      </c>
      <c r="L46" s="112">
        <f>Chem!$E$62</f>
        <v>58.52000000000001</v>
      </c>
      <c r="M46" s="112">
        <f>Chem!$E$62</f>
        <v>58.52000000000001</v>
      </c>
      <c r="N46" s="112">
        <f>Chem!$E$62</f>
        <v>58.52000000000001</v>
      </c>
      <c r="O46" s="112">
        <f>Chem!$E$62</f>
        <v>58.52000000000001</v>
      </c>
    </row>
    <row r="47" spans="1:17" x14ac:dyDescent="0.2">
      <c r="A47" s="23" t="s">
        <v>121</v>
      </c>
      <c r="B47" s="3"/>
      <c r="C47" s="7"/>
      <c r="D47" s="3"/>
      <c r="E47" s="3"/>
      <c r="F47" s="102">
        <v>0</v>
      </c>
      <c r="G47" s="102">
        <v>0</v>
      </c>
      <c r="H47" s="102">
        <v>0</v>
      </c>
      <c r="I47" s="102">
        <v>0</v>
      </c>
      <c r="J47" s="102">
        <v>0</v>
      </c>
      <c r="K47" s="102">
        <v>0</v>
      </c>
      <c r="L47" s="102">
        <v>0</v>
      </c>
      <c r="M47" s="102">
        <v>0</v>
      </c>
      <c r="N47" s="102">
        <v>0</v>
      </c>
      <c r="O47" s="102">
        <v>0</v>
      </c>
      <c r="P47" s="427"/>
    </row>
    <row r="48" spans="1:17" x14ac:dyDescent="0.2">
      <c r="A48" s="148" t="s">
        <v>444</v>
      </c>
      <c r="B48" s="3"/>
      <c r="C48" s="7"/>
      <c r="D48" s="3"/>
      <c r="E48" s="3"/>
      <c r="F48" s="104">
        <f>Chem!$E$63</f>
        <v>200</v>
      </c>
      <c r="G48" s="104">
        <f>Chem!$E$63</f>
        <v>200</v>
      </c>
      <c r="H48" s="104">
        <f>Chem!$E$63</f>
        <v>200</v>
      </c>
      <c r="I48" s="104">
        <f>Chem!$E$63</f>
        <v>200</v>
      </c>
      <c r="J48" s="104">
        <f>Chem!$E$63</f>
        <v>200</v>
      </c>
      <c r="K48" s="104">
        <f>Chem!$E$63</f>
        <v>200</v>
      </c>
      <c r="L48" s="104">
        <f>Chem!$E$63</f>
        <v>200</v>
      </c>
      <c r="M48" s="104">
        <f>Chem!$E$63</f>
        <v>200</v>
      </c>
      <c r="N48" s="104">
        <f>Chem!$E$63</f>
        <v>200</v>
      </c>
      <c r="O48" s="104">
        <f>Chem!$E$63</f>
        <v>200</v>
      </c>
    </row>
    <row r="49" spans="1:20" x14ac:dyDescent="0.2">
      <c r="A49" s="48" t="s">
        <v>315</v>
      </c>
      <c r="B49" s="7"/>
      <c r="C49" s="194"/>
      <c r="D49" s="7"/>
      <c r="E49" s="7"/>
      <c r="F49" s="140">
        <v>0.01</v>
      </c>
      <c r="G49" s="140">
        <v>0.01</v>
      </c>
      <c r="H49" s="140">
        <v>0.01</v>
      </c>
      <c r="I49" s="140">
        <v>0.01</v>
      </c>
      <c r="J49" s="140">
        <v>0.01</v>
      </c>
      <c r="K49" s="140">
        <v>0.01</v>
      </c>
      <c r="L49" s="140">
        <v>0.01</v>
      </c>
      <c r="M49" s="140">
        <v>0.01</v>
      </c>
      <c r="N49" s="140">
        <v>0.01</v>
      </c>
      <c r="O49" s="140">
        <v>0.01</v>
      </c>
    </row>
    <row r="50" spans="1:20" ht="14.25" x14ac:dyDescent="0.2">
      <c r="A50" s="23" t="s">
        <v>316</v>
      </c>
      <c r="B50" s="7"/>
      <c r="C50" s="194"/>
      <c r="D50" s="7"/>
      <c r="E50" s="7"/>
      <c r="F50" s="140">
        <v>0.05</v>
      </c>
      <c r="G50" s="140">
        <v>0.05</v>
      </c>
      <c r="H50" s="140">
        <v>0.05</v>
      </c>
      <c r="I50" s="140">
        <v>0.05</v>
      </c>
      <c r="J50" s="140">
        <v>0.05</v>
      </c>
      <c r="K50" s="140">
        <v>0.05</v>
      </c>
      <c r="L50" s="140">
        <v>0.05</v>
      </c>
      <c r="M50" s="140">
        <v>0.05</v>
      </c>
      <c r="N50" s="140">
        <v>0.05</v>
      </c>
      <c r="O50" s="140">
        <v>0.05</v>
      </c>
    </row>
    <row r="51" spans="1:20" x14ac:dyDescent="0.2">
      <c r="A51" s="23" t="s">
        <v>285</v>
      </c>
      <c r="B51" s="3"/>
      <c r="C51" s="7"/>
      <c r="D51" s="3"/>
      <c r="E51" s="3"/>
      <c r="F51" s="140">
        <v>80</v>
      </c>
      <c r="G51" s="140">
        <v>80</v>
      </c>
      <c r="H51" s="140">
        <v>80</v>
      </c>
      <c r="I51" s="140">
        <v>80</v>
      </c>
      <c r="J51" s="140">
        <v>80</v>
      </c>
      <c r="K51" s="140">
        <v>80</v>
      </c>
      <c r="L51" s="140">
        <v>80</v>
      </c>
      <c r="M51" s="140">
        <v>80</v>
      </c>
      <c r="N51" s="140">
        <v>80</v>
      </c>
      <c r="O51" s="140">
        <v>80</v>
      </c>
    </row>
    <row r="52" spans="1:20" x14ac:dyDescent="0.2">
      <c r="A52" t="s">
        <v>287</v>
      </c>
      <c r="E52" s="136"/>
      <c r="F52" s="6">
        <f ca="1">'Iterative I-V'!C143*100</f>
        <v>79.999999999889127</v>
      </c>
      <c r="G52" s="473">
        <f ca="1">'Iterative I-V'!D143*100</f>
        <v>79.999999999945999</v>
      </c>
      <c r="H52" s="473">
        <f ca="1">'Iterative I-V'!E143*100</f>
        <v>79.999999999846438</v>
      </c>
      <c r="I52" s="473">
        <f ca="1">'Iterative I-V'!F143*100</f>
        <v>79.999999999163478</v>
      </c>
      <c r="J52" s="473">
        <f ca="1">'Iterative I-V'!G143*100</f>
        <v>79.999999996814068</v>
      </c>
      <c r="K52" s="473">
        <f ca="1">'Iterative I-V'!H143*100</f>
        <v>81.221904161627862</v>
      </c>
      <c r="L52" s="473">
        <f ca="1">'Iterative I-V'!I143*100</f>
        <v>84.142514602572902</v>
      </c>
      <c r="M52" s="473">
        <f ca="1">'Iterative I-V'!J143*100</f>
        <v>85.430797668102358</v>
      </c>
      <c r="N52" s="473">
        <f ca="1">'Iterative I-V'!K143*100</f>
        <v>87.609679534180202</v>
      </c>
      <c r="O52" s="473">
        <f ca="1">'Iterative I-V'!L143*100</f>
        <v>89.538289263045471</v>
      </c>
      <c r="P52" s="482"/>
    </row>
    <row r="53" spans="1:20" ht="15.75" x14ac:dyDescent="0.25">
      <c r="A53" s="18" t="s">
        <v>18</v>
      </c>
      <c r="B53" s="19"/>
      <c r="C53" s="19"/>
      <c r="F53" s="39"/>
      <c r="G53" s="39"/>
      <c r="H53" s="39"/>
      <c r="I53" s="39"/>
      <c r="J53" s="39"/>
      <c r="K53" s="39"/>
      <c r="L53" s="39"/>
      <c r="M53" s="39"/>
      <c r="N53" s="39"/>
    </row>
    <row r="54" spans="1:20" s="7" customFormat="1" ht="15" x14ac:dyDescent="0.2">
      <c r="A54" s="19" t="s">
        <v>354</v>
      </c>
      <c r="B54" s="19"/>
      <c r="C54" s="19"/>
      <c r="D54"/>
      <c r="E54"/>
      <c r="F54" s="272" t="s">
        <v>537</v>
      </c>
      <c r="G54" s="3" t="str">
        <f>F54</f>
        <v>EV</v>
      </c>
      <c r="H54" s="3" t="str">
        <f t="shared" ref="G54:O55" si="34">G54</f>
        <v>EV</v>
      </c>
      <c r="I54" s="3" t="str">
        <f t="shared" si="34"/>
        <v>EV</v>
      </c>
      <c r="J54" s="3" t="str">
        <f t="shared" si="34"/>
        <v>EV</v>
      </c>
      <c r="K54" s="256" t="str">
        <f t="shared" si="34"/>
        <v>EV</v>
      </c>
      <c r="L54" s="256" t="str">
        <f t="shared" si="34"/>
        <v>EV</v>
      </c>
      <c r="M54" s="256" t="str">
        <f t="shared" si="34"/>
        <v>EV</v>
      </c>
      <c r="N54" s="256" t="str">
        <f t="shared" si="34"/>
        <v>EV</v>
      </c>
      <c r="O54" s="256" t="str">
        <f t="shared" si="34"/>
        <v>EV</v>
      </c>
      <c r="P54" s="226"/>
      <c r="Q54" s="226"/>
      <c r="R54" s="226"/>
      <c r="S54" s="226"/>
      <c r="T54" s="226"/>
    </row>
    <row r="55" spans="1:20" s="7" customFormat="1" x14ac:dyDescent="0.2">
      <c r="A55" s="252" t="s">
        <v>508</v>
      </c>
      <c r="D55" s="252"/>
      <c r="E55" s="251"/>
      <c r="F55" s="268" t="s">
        <v>472</v>
      </c>
      <c r="G55" s="273" t="str">
        <f t="shared" si="34"/>
        <v>EG-W</v>
      </c>
      <c r="H55" s="273" t="str">
        <f t="shared" si="34"/>
        <v>EG-W</v>
      </c>
      <c r="I55" s="273" t="str">
        <f t="shared" si="34"/>
        <v>EG-W</v>
      </c>
      <c r="J55" s="273" t="str">
        <f t="shared" si="34"/>
        <v>EG-W</v>
      </c>
      <c r="K55" s="273" t="str">
        <f t="shared" si="34"/>
        <v>EG-W</v>
      </c>
      <c r="L55" s="273" t="str">
        <f t="shared" si="34"/>
        <v>EG-W</v>
      </c>
      <c r="M55" s="273" t="str">
        <f t="shared" si="34"/>
        <v>EG-W</v>
      </c>
      <c r="N55" s="273" t="str">
        <f t="shared" si="34"/>
        <v>EG-W</v>
      </c>
      <c r="O55" s="273" t="str">
        <f t="shared" si="34"/>
        <v>EG-W</v>
      </c>
      <c r="P55" s="226"/>
      <c r="Q55" s="226"/>
      <c r="R55" s="226"/>
      <c r="S55" s="226"/>
      <c r="T55" s="226"/>
    </row>
    <row r="56" spans="1:20" x14ac:dyDescent="0.2">
      <c r="A56" s="23" t="s">
        <v>256</v>
      </c>
      <c r="B56" s="7"/>
      <c r="C56" s="7"/>
      <c r="D56" s="252"/>
      <c r="E56" s="7"/>
      <c r="F56" s="152">
        <f t="shared" ref="F56:K56" si="35">IF(F54="microHEV",2,10)</f>
        <v>10</v>
      </c>
      <c r="G56" s="152">
        <f t="shared" si="35"/>
        <v>10</v>
      </c>
      <c r="H56" s="152">
        <f t="shared" si="35"/>
        <v>10</v>
      </c>
      <c r="I56" s="152">
        <f t="shared" si="35"/>
        <v>10</v>
      </c>
      <c r="J56" s="152">
        <f t="shared" si="35"/>
        <v>10</v>
      </c>
      <c r="K56" s="152">
        <f t="shared" si="35"/>
        <v>10</v>
      </c>
      <c r="L56" s="152">
        <f t="shared" ref="L56:M56" si="36">IF(L54="microHEV",2,10)</f>
        <v>10</v>
      </c>
      <c r="M56" s="152">
        <f t="shared" si="36"/>
        <v>10</v>
      </c>
      <c r="N56" s="152">
        <f t="shared" ref="N56:O56" si="37">IF(N54="microHEV",2,10)</f>
        <v>10</v>
      </c>
      <c r="O56" s="152">
        <f t="shared" si="37"/>
        <v>10</v>
      </c>
    </row>
    <row r="57" spans="1:20" x14ac:dyDescent="0.2">
      <c r="A57" t="s">
        <v>477</v>
      </c>
      <c r="F57" s="254">
        <f>'Iterative I-V'!C4</f>
        <v>87.73</v>
      </c>
      <c r="G57" s="254">
        <f>'Iterative I-V'!D4</f>
        <v>87.73</v>
      </c>
      <c r="H57" s="254">
        <f>'Iterative I-V'!E4</f>
        <v>87.73</v>
      </c>
      <c r="I57" s="254">
        <f>'Iterative I-V'!F4</f>
        <v>87.73</v>
      </c>
      <c r="J57" s="254">
        <f>'Iterative I-V'!G4</f>
        <v>87.73</v>
      </c>
      <c r="K57" s="254">
        <f>'Iterative I-V'!H4</f>
        <v>87.55</v>
      </c>
      <c r="L57" s="254">
        <f>'Iterative I-V'!I4</f>
        <v>87.25</v>
      </c>
      <c r="M57" s="254">
        <f>'Iterative I-V'!J4</f>
        <v>87.1</v>
      </c>
      <c r="N57" s="254">
        <f>'Iterative I-V'!K4</f>
        <v>86.9</v>
      </c>
      <c r="O57" s="254">
        <f>'Iterative I-V'!L4</f>
        <v>86.7</v>
      </c>
      <c r="P57" s="427"/>
    </row>
    <row r="58" spans="1:20" x14ac:dyDescent="0.2">
      <c r="A58" t="s">
        <v>265</v>
      </c>
      <c r="F58" s="140">
        <f>'Iterative I-V'!C6/'Battery Design'!F62</f>
        <v>30</v>
      </c>
      <c r="G58" s="140">
        <f>'Iterative I-V'!D6/'Battery Design'!G62</f>
        <v>30</v>
      </c>
      <c r="H58" s="140">
        <f>'Iterative I-V'!E6/'Battery Design'!H62</f>
        <v>30</v>
      </c>
      <c r="I58" s="140">
        <f>'Iterative I-V'!F6/'Battery Design'!I62</f>
        <v>30</v>
      </c>
      <c r="J58" s="140">
        <f>'Iterative I-V'!G6/'Battery Design'!J62</f>
        <v>30</v>
      </c>
      <c r="K58" s="140">
        <f>'Iterative I-V'!H6/'Battery Design'!K62</f>
        <v>30</v>
      </c>
      <c r="L58" s="140">
        <f>'Iterative I-V'!I6/'Battery Design'!L62</f>
        <v>30</v>
      </c>
      <c r="M58" s="140">
        <f>'Iterative I-V'!J6/'Battery Design'!M62</f>
        <v>30</v>
      </c>
      <c r="N58" s="140">
        <f>'Iterative I-V'!K6/'Battery Design'!N62</f>
        <v>30</v>
      </c>
      <c r="O58" s="140">
        <f>'Iterative I-V'!L6/'Battery Design'!O62</f>
        <v>30</v>
      </c>
      <c r="P58" s="427"/>
    </row>
    <row r="59" spans="1:20" x14ac:dyDescent="0.2">
      <c r="A59" t="s">
        <v>384</v>
      </c>
      <c r="F59" s="140">
        <v>2</v>
      </c>
      <c r="G59" s="140">
        <v>2</v>
      </c>
      <c r="H59" s="140">
        <v>2</v>
      </c>
      <c r="I59" s="140">
        <v>2</v>
      </c>
      <c r="J59" s="140">
        <v>2</v>
      </c>
      <c r="K59" s="140">
        <v>2</v>
      </c>
      <c r="L59" s="140">
        <v>2</v>
      </c>
      <c r="M59" s="140">
        <v>2</v>
      </c>
      <c r="N59" s="140">
        <v>2</v>
      </c>
      <c r="O59" s="140">
        <v>2</v>
      </c>
    </row>
    <row r="60" spans="1:20" x14ac:dyDescent="0.2">
      <c r="A60" t="s">
        <v>266</v>
      </c>
      <c r="F60" s="176">
        <v>4</v>
      </c>
      <c r="G60" s="176">
        <v>4</v>
      </c>
      <c r="H60" s="176">
        <v>4</v>
      </c>
      <c r="I60" s="176">
        <v>4</v>
      </c>
      <c r="J60" s="176">
        <v>4</v>
      </c>
      <c r="K60" s="176">
        <v>4</v>
      </c>
      <c r="L60" s="176">
        <v>4</v>
      </c>
      <c r="M60" s="176">
        <v>4</v>
      </c>
      <c r="N60" s="176">
        <v>4</v>
      </c>
      <c r="O60" s="176">
        <v>4</v>
      </c>
    </row>
    <row r="61" spans="1:20" x14ac:dyDescent="0.2">
      <c r="A61" s="154" t="s">
        <v>473</v>
      </c>
      <c r="F61" s="176">
        <v>2</v>
      </c>
      <c r="G61" s="176">
        <v>2</v>
      </c>
      <c r="H61" s="176">
        <v>2</v>
      </c>
      <c r="I61" s="176">
        <v>2</v>
      </c>
      <c r="J61" s="176">
        <v>2</v>
      </c>
      <c r="K61" s="176">
        <v>2</v>
      </c>
      <c r="L61" s="176">
        <v>2</v>
      </c>
      <c r="M61" s="176">
        <v>2</v>
      </c>
      <c r="N61" s="176">
        <v>2</v>
      </c>
      <c r="O61" s="176">
        <v>2</v>
      </c>
    </row>
    <row r="62" spans="1:20" x14ac:dyDescent="0.2">
      <c r="A62" t="s">
        <v>474</v>
      </c>
      <c r="F62" s="182">
        <f t="shared" ref="F62:K62" si="38">F60*F61</f>
        <v>8</v>
      </c>
      <c r="G62" s="182">
        <f t="shared" si="38"/>
        <v>8</v>
      </c>
      <c r="H62" s="182">
        <f t="shared" si="38"/>
        <v>8</v>
      </c>
      <c r="I62" s="182">
        <f t="shared" si="38"/>
        <v>8</v>
      </c>
      <c r="J62" s="182">
        <f t="shared" si="38"/>
        <v>8</v>
      </c>
      <c r="K62" s="182">
        <f t="shared" si="38"/>
        <v>8</v>
      </c>
      <c r="L62" s="182">
        <f t="shared" ref="L62:M62" si="39">L60*L61</f>
        <v>8</v>
      </c>
      <c r="M62" s="182">
        <f t="shared" si="39"/>
        <v>8</v>
      </c>
      <c r="N62" s="182">
        <f t="shared" ref="N62:O62" si="40">N60*N61</f>
        <v>8</v>
      </c>
      <c r="O62" s="182">
        <f t="shared" si="40"/>
        <v>8</v>
      </c>
    </row>
    <row r="63" spans="1:20" x14ac:dyDescent="0.2">
      <c r="A63" s="252" t="s">
        <v>454</v>
      </c>
      <c r="F63" s="254">
        <v>1</v>
      </c>
      <c r="G63" s="254">
        <v>1</v>
      </c>
      <c r="H63" s="254">
        <v>1</v>
      </c>
      <c r="I63" s="254">
        <v>1</v>
      </c>
      <c r="J63" s="254">
        <v>1</v>
      </c>
      <c r="K63" s="254">
        <v>1</v>
      </c>
      <c r="L63" s="254">
        <v>1</v>
      </c>
      <c r="M63" s="254">
        <v>1</v>
      </c>
      <c r="N63" s="254">
        <v>1</v>
      </c>
      <c r="O63" s="254">
        <v>1</v>
      </c>
    </row>
    <row r="64" spans="1:20" x14ac:dyDescent="0.2">
      <c r="A64" s="252" t="s">
        <v>498</v>
      </c>
      <c r="F64" s="254">
        <v>1</v>
      </c>
      <c r="G64" s="254">
        <v>1</v>
      </c>
      <c r="H64" s="254">
        <v>1</v>
      </c>
      <c r="I64" s="254">
        <v>1</v>
      </c>
      <c r="J64" s="254">
        <v>1</v>
      </c>
      <c r="K64" s="254">
        <v>1</v>
      </c>
      <c r="L64" s="254">
        <v>1</v>
      </c>
      <c r="M64" s="254">
        <v>1</v>
      </c>
      <c r="N64" s="254">
        <v>1</v>
      </c>
      <c r="O64" s="254">
        <v>1</v>
      </c>
    </row>
    <row r="65" spans="1:20" x14ac:dyDescent="0.2">
      <c r="A65" s="252" t="s">
        <v>551</v>
      </c>
      <c r="F65" s="254"/>
      <c r="G65" s="254"/>
      <c r="H65" s="254"/>
      <c r="I65" s="254"/>
      <c r="J65" s="254"/>
      <c r="K65" s="254"/>
      <c r="L65" s="254"/>
      <c r="M65" s="254"/>
      <c r="N65" s="254"/>
      <c r="O65" s="254"/>
    </row>
    <row r="66" spans="1:20" x14ac:dyDescent="0.2">
      <c r="A66" t="s">
        <v>475</v>
      </c>
      <c r="F66" s="133">
        <f t="shared" ref="F66:K66" si="41">F62*F58</f>
        <v>240</v>
      </c>
      <c r="G66" s="133">
        <f t="shared" si="41"/>
        <v>240</v>
      </c>
      <c r="H66" s="133">
        <f t="shared" si="41"/>
        <v>240</v>
      </c>
      <c r="I66" s="133">
        <f t="shared" si="41"/>
        <v>240</v>
      </c>
      <c r="J66" s="133">
        <f t="shared" si="41"/>
        <v>240</v>
      </c>
      <c r="K66" s="133">
        <f t="shared" si="41"/>
        <v>240</v>
      </c>
      <c r="L66" s="133">
        <f t="shared" ref="L66:M66" si="42">L62*L58</f>
        <v>240</v>
      </c>
      <c r="M66" s="133">
        <f t="shared" si="42"/>
        <v>240</v>
      </c>
      <c r="N66" s="133">
        <f t="shared" ref="N66:O66" si="43">N62*N58</f>
        <v>240</v>
      </c>
      <c r="O66" s="133">
        <f t="shared" si="43"/>
        <v>240</v>
      </c>
    </row>
    <row r="67" spans="1:20" x14ac:dyDescent="0.2">
      <c r="A67" t="s">
        <v>476</v>
      </c>
      <c r="F67" s="133">
        <f t="shared" ref="F67:K67" si="44">F66*F64</f>
        <v>240</v>
      </c>
      <c r="G67" s="133">
        <f t="shared" si="44"/>
        <v>240</v>
      </c>
      <c r="H67" s="133">
        <f t="shared" si="44"/>
        <v>240</v>
      </c>
      <c r="I67" s="133">
        <f t="shared" si="44"/>
        <v>240</v>
      </c>
      <c r="J67" s="133">
        <f t="shared" si="44"/>
        <v>240</v>
      </c>
      <c r="K67" s="133">
        <f t="shared" si="44"/>
        <v>240</v>
      </c>
      <c r="L67" s="133">
        <f t="shared" ref="L67:M67" si="45">L66*L64</f>
        <v>240</v>
      </c>
      <c r="M67" s="133">
        <f t="shared" si="45"/>
        <v>240</v>
      </c>
      <c r="N67" s="133">
        <f t="shared" ref="N67:O67" si="46">N66*N64</f>
        <v>240</v>
      </c>
      <c r="O67" s="133">
        <f t="shared" si="46"/>
        <v>240</v>
      </c>
    </row>
    <row r="68" spans="1:20" x14ac:dyDescent="0.2">
      <c r="A68" t="s">
        <v>426</v>
      </c>
      <c r="F68" s="140">
        <v>0.03</v>
      </c>
      <c r="G68" s="140">
        <v>0.03</v>
      </c>
      <c r="H68" s="140">
        <v>0.03</v>
      </c>
      <c r="I68" s="140">
        <v>0.03</v>
      </c>
      <c r="J68" s="140">
        <v>0.03</v>
      </c>
      <c r="K68" s="140">
        <v>0.03</v>
      </c>
      <c r="L68" s="140">
        <v>0.03</v>
      </c>
      <c r="M68" s="140">
        <v>0.03</v>
      </c>
      <c r="N68" s="140">
        <v>0.03</v>
      </c>
      <c r="O68" s="140">
        <v>0.03</v>
      </c>
    </row>
    <row r="69" spans="1:20" x14ac:dyDescent="0.2">
      <c r="A69" t="s">
        <v>267</v>
      </c>
      <c r="F69" s="176">
        <v>10</v>
      </c>
      <c r="G69" s="176">
        <v>10</v>
      </c>
      <c r="H69" s="176">
        <v>10</v>
      </c>
      <c r="I69" s="176">
        <v>10</v>
      </c>
      <c r="J69" s="176">
        <v>10</v>
      </c>
      <c r="K69" s="176">
        <v>10</v>
      </c>
      <c r="L69" s="176">
        <v>10</v>
      </c>
      <c r="M69" s="176">
        <v>10</v>
      </c>
      <c r="N69" s="176">
        <v>10</v>
      </c>
      <c r="O69" s="176">
        <v>10</v>
      </c>
    </row>
    <row r="70" spans="1:20" x14ac:dyDescent="0.2">
      <c r="A70" t="s">
        <v>268</v>
      </c>
      <c r="F70" s="137">
        <f t="shared" ref="F70:L70" ca="1" si="47">F69+2*IF(F132*F62&lt;20,1,IF(F132*F62&lt;40,1.5,2))</f>
        <v>14</v>
      </c>
      <c r="G70" s="137">
        <f t="shared" ca="1" si="47"/>
        <v>14</v>
      </c>
      <c r="H70" s="137">
        <f t="shared" ca="1" si="47"/>
        <v>14</v>
      </c>
      <c r="I70" s="137">
        <f t="shared" ca="1" si="47"/>
        <v>14</v>
      </c>
      <c r="J70" s="137">
        <f t="shared" ca="1" si="47"/>
        <v>14</v>
      </c>
      <c r="K70" s="137">
        <f t="shared" ca="1" si="47"/>
        <v>14</v>
      </c>
      <c r="L70" s="137">
        <f t="shared" ca="1" si="47"/>
        <v>14</v>
      </c>
      <c r="M70" s="137">
        <f t="shared" ref="M70:O70" ca="1" si="48">M69+2*IF(M132*M62&lt;20,1,IF(M132*M62&lt;40,1.5,2))</f>
        <v>14</v>
      </c>
      <c r="N70" s="137">
        <f t="shared" ca="1" si="48"/>
        <v>14</v>
      </c>
      <c r="O70" s="137">
        <f t="shared" ca="1" si="48"/>
        <v>14</v>
      </c>
    </row>
    <row r="71" spans="1:20" ht="13.5" thickBot="1" x14ac:dyDescent="0.25">
      <c r="A71" s="58" t="s">
        <v>22</v>
      </c>
      <c r="B71" s="58"/>
      <c r="C71" s="58"/>
      <c r="D71" s="58"/>
      <c r="F71" s="236">
        <v>100000</v>
      </c>
      <c r="G71" s="236">
        <v>100000</v>
      </c>
      <c r="H71" s="236">
        <v>100000</v>
      </c>
      <c r="I71" s="236">
        <v>100000</v>
      </c>
      <c r="J71" s="236">
        <v>100000</v>
      </c>
      <c r="K71" s="236">
        <v>100000</v>
      </c>
      <c r="L71" s="236">
        <v>100000</v>
      </c>
      <c r="M71" s="236">
        <v>100000</v>
      </c>
      <c r="N71" s="236">
        <v>100000</v>
      </c>
      <c r="O71" s="236">
        <v>100000</v>
      </c>
    </row>
    <row r="72" spans="1:20" x14ac:dyDescent="0.2">
      <c r="A72" s="143" t="s">
        <v>182</v>
      </c>
      <c r="B72" s="144"/>
      <c r="C72" s="144"/>
      <c r="D72" s="114"/>
      <c r="E72" s="253"/>
      <c r="F72" s="136">
        <f>F139</f>
        <v>355.2</v>
      </c>
      <c r="G72" s="136">
        <f t="shared" ref="G72:O72" si="49">G139</f>
        <v>355.2</v>
      </c>
      <c r="H72" s="136">
        <f t="shared" si="49"/>
        <v>355.2</v>
      </c>
      <c r="I72" s="136">
        <f t="shared" si="49"/>
        <v>355.2</v>
      </c>
      <c r="J72" s="136">
        <f t="shared" si="49"/>
        <v>355.2</v>
      </c>
      <c r="K72" s="136">
        <f t="shared" si="49"/>
        <v>355.2</v>
      </c>
      <c r="L72" s="136">
        <f t="shared" si="49"/>
        <v>355.2</v>
      </c>
      <c r="M72" s="136">
        <f t="shared" si="49"/>
        <v>355.2</v>
      </c>
      <c r="N72" s="136">
        <f t="shared" si="49"/>
        <v>355.2</v>
      </c>
      <c r="O72" s="136">
        <f t="shared" si="49"/>
        <v>355.2</v>
      </c>
    </row>
    <row r="73" spans="1:20" ht="13.5" thickBot="1" x14ac:dyDescent="0.25">
      <c r="A73" s="141" t="s">
        <v>183</v>
      </c>
      <c r="B73" s="116"/>
      <c r="C73" s="116"/>
      <c r="D73" s="145"/>
      <c r="E73" s="142"/>
    </row>
    <row r="74" spans="1:20" ht="15.75" x14ac:dyDescent="0.25">
      <c r="A74" s="18" t="s">
        <v>174</v>
      </c>
      <c r="F74" s="307"/>
      <c r="G74" s="307"/>
      <c r="H74" s="307"/>
      <c r="I74" s="307"/>
      <c r="J74" s="307"/>
      <c r="K74" s="307"/>
      <c r="L74" s="307"/>
      <c r="M74" s="307"/>
      <c r="N74" s="307"/>
      <c r="O74" s="307"/>
    </row>
    <row r="75" spans="1:20" ht="15" x14ac:dyDescent="0.25">
      <c r="A75" s="258" t="s">
        <v>184</v>
      </c>
      <c r="D75" s="263"/>
      <c r="E75" s="320"/>
      <c r="F75" s="264"/>
      <c r="G75" s="264"/>
      <c r="H75" s="264"/>
      <c r="I75" s="264" t="str">
        <f ca="1">IF(OR(I81&gt;Chem!$E61,MIN(I97,I98)&lt;15),"X"," ")</f>
        <v xml:space="preserve"> </v>
      </c>
      <c r="J75" s="264" t="str">
        <f ca="1">IF(OR(J81&gt;Chem!$E61,MIN(J97,J98)&lt;15),"X"," ")</f>
        <v xml:space="preserve"> </v>
      </c>
      <c r="K75" s="264" t="str">
        <f ca="1">IF(OR(K81&gt;Chem!$E61,MIN(K97,K98)&lt;15),"X"," ")</f>
        <v xml:space="preserve"> </v>
      </c>
      <c r="L75" s="264" t="str">
        <f ca="1">IF(OR(L81&gt;Chem!$E61,MIN(L97,L98)&lt;15),"X"," ")</f>
        <v xml:space="preserve"> </v>
      </c>
      <c r="M75" s="264" t="str">
        <f ca="1">IF(OR(M81&gt;Chem!$E61,MIN(M97,M98)&lt;15),"X"," ")</f>
        <v xml:space="preserve"> </v>
      </c>
      <c r="N75" s="264" t="str">
        <f ca="1">IF(OR(N81&gt;Chem!$E61,MIN(N97,N98)&lt;15),"X"," ")</f>
        <v xml:space="preserve"> </v>
      </c>
      <c r="O75" s="264" t="str">
        <f ca="1">IF(OR(O81&gt;Chem!$E61,MIN(O97,O98)&lt;15),"X"," ")</f>
        <v xml:space="preserve"> </v>
      </c>
      <c r="P75" s="318"/>
      <c r="Q75" s="318"/>
      <c r="R75" s="318"/>
      <c r="S75" s="318"/>
      <c r="T75" s="318"/>
    </row>
    <row r="76" spans="1:20" x14ac:dyDescent="0.2">
      <c r="A76" s="252" t="s">
        <v>510</v>
      </c>
      <c r="F76" s="103">
        <f ca="1">'Iterative I-V'!C18*F59</f>
        <v>406.1116524637535</v>
      </c>
      <c r="G76" s="103">
        <f ca="1">'Iterative I-V'!D18*G59</f>
        <v>404.98520161124429</v>
      </c>
      <c r="H76" s="103">
        <f ca="1">'Iterative I-V'!E18*H59</f>
        <v>403.36764104836413</v>
      </c>
      <c r="I76" s="103">
        <f ca="1">'Iterative I-V'!F18*I59</f>
        <v>401.17599811854842</v>
      </c>
      <c r="J76" s="103">
        <f ca="1">'Iterative I-V'!G18*J59</f>
        <v>403.74325017228574</v>
      </c>
      <c r="K76" s="103">
        <f ca="1">'Iterative I-V'!H18*K59</f>
        <v>400.52990970177791</v>
      </c>
      <c r="L76" s="103">
        <f ca="1">'Iterative I-V'!I18*L59</f>
        <v>393.14943773953496</v>
      </c>
      <c r="M76" s="103">
        <f ca="1">'Iterative I-V'!J18*M59</f>
        <v>383.83801176468489</v>
      </c>
      <c r="N76" s="103">
        <f ca="1">'Iterative I-V'!K18*N59</f>
        <v>378.22878094991665</v>
      </c>
      <c r="O76" s="103">
        <f ca="1">'Iterative I-V'!L18*O59</f>
        <v>373.43662734647637</v>
      </c>
      <c r="P76" s="427"/>
      <c r="Q76" s="250"/>
      <c r="R76" s="250"/>
      <c r="S76" s="250"/>
      <c r="T76" s="250"/>
    </row>
    <row r="77" spans="1:20" x14ac:dyDescent="0.2">
      <c r="A77" s="7" t="s">
        <v>386</v>
      </c>
      <c r="F77" s="103">
        <f t="shared" ref="F77:L77" ca="1" si="50">F76/F59</f>
        <v>203.05582623187675</v>
      </c>
      <c r="G77" s="103">
        <f t="shared" ca="1" si="50"/>
        <v>202.49260080562215</v>
      </c>
      <c r="H77" s="103">
        <f t="shared" ca="1" si="50"/>
        <v>201.68382052418207</v>
      </c>
      <c r="I77" s="103">
        <f t="shared" ca="1" si="50"/>
        <v>200.58799905927421</v>
      </c>
      <c r="J77" s="103">
        <f t="shared" ca="1" si="50"/>
        <v>201.87162508614287</v>
      </c>
      <c r="K77" s="103">
        <f t="shared" ca="1" si="50"/>
        <v>200.26495485088896</v>
      </c>
      <c r="L77" s="103">
        <f t="shared" ca="1" si="50"/>
        <v>196.57471886976748</v>
      </c>
      <c r="M77" s="103">
        <f t="shared" ref="M77:O77" ca="1" si="51">M76/M59</f>
        <v>191.91900588234245</v>
      </c>
      <c r="N77" s="103">
        <f t="shared" ca="1" si="51"/>
        <v>189.11439047495833</v>
      </c>
      <c r="O77" s="103">
        <f t="shared" ca="1" si="51"/>
        <v>186.71831367323819</v>
      </c>
      <c r="P77" s="273"/>
      <c r="Q77" s="273"/>
      <c r="R77" s="273"/>
      <c r="S77" s="273"/>
      <c r="T77" s="273"/>
    </row>
    <row r="78" spans="1:20" ht="15" x14ac:dyDescent="0.25">
      <c r="A78" s="258" t="s">
        <v>288</v>
      </c>
      <c r="P78" s="319"/>
      <c r="Q78" s="319"/>
      <c r="R78" s="319"/>
      <c r="S78" s="319"/>
      <c r="T78" s="319"/>
    </row>
    <row r="79" spans="1:20" ht="14.25" x14ac:dyDescent="0.2">
      <c r="A79" s="7" t="s">
        <v>244</v>
      </c>
      <c r="F79" s="133">
        <f t="shared" ref="F79:L79" si="52">IF(F56=10,85,150)</f>
        <v>85</v>
      </c>
      <c r="G79" s="133">
        <f t="shared" si="52"/>
        <v>85</v>
      </c>
      <c r="H79" s="133">
        <f t="shared" si="52"/>
        <v>85</v>
      </c>
      <c r="I79" s="133">
        <f t="shared" si="52"/>
        <v>85</v>
      </c>
      <c r="J79" s="133">
        <f t="shared" si="52"/>
        <v>85</v>
      </c>
      <c r="K79" s="133">
        <f t="shared" si="52"/>
        <v>85</v>
      </c>
      <c r="L79" s="133">
        <f t="shared" si="52"/>
        <v>85</v>
      </c>
      <c r="M79" s="133">
        <f t="shared" ref="M79:O79" si="53">IF(M56=10,85,150)</f>
        <v>85</v>
      </c>
      <c r="N79" s="133">
        <f t="shared" si="53"/>
        <v>85</v>
      </c>
      <c r="O79" s="133">
        <f t="shared" si="53"/>
        <v>85</v>
      </c>
      <c r="P79" s="319"/>
      <c r="Q79" s="319"/>
      <c r="R79" s="319"/>
      <c r="S79" s="319"/>
      <c r="T79" s="319"/>
    </row>
    <row r="80" spans="1:20" x14ac:dyDescent="0.2">
      <c r="A80" s="7" t="s">
        <v>245</v>
      </c>
      <c r="F80" s="256">
        <f>Chem!$E$52*IF(F56=10,1,2)</f>
        <v>100</v>
      </c>
      <c r="G80" s="256">
        <f>Chem!$E$52*IF(G56=10,1,2)</f>
        <v>100</v>
      </c>
      <c r="H80" s="256">
        <f>Chem!$E$52*IF(H56=10,1,2)</f>
        <v>100</v>
      </c>
      <c r="I80" s="256">
        <f>Chem!$E$52*IF(I56=10,1,2)</f>
        <v>100</v>
      </c>
      <c r="J80" s="256">
        <f>Chem!$E$52*IF(J56=10,1,2)</f>
        <v>100</v>
      </c>
      <c r="K80" s="256">
        <f>Chem!$E$52*IF(K56=10,1,2)</f>
        <v>100</v>
      </c>
      <c r="L80" s="256">
        <f>Chem!$E$52*IF(L56=10,1,2)</f>
        <v>100</v>
      </c>
      <c r="M80" s="256">
        <f>Chem!$E$52*IF(M56=10,1,2)</f>
        <v>100</v>
      </c>
      <c r="N80" s="256">
        <f>Chem!$E$52*IF(N56=10,1,2)</f>
        <v>100</v>
      </c>
      <c r="O80" s="256">
        <f>Chem!$E$52*IF(O56=10,1,2)</f>
        <v>100</v>
      </c>
      <c r="P80" s="319"/>
      <c r="Q80" s="319"/>
      <c r="R80" s="319"/>
      <c r="S80" s="319"/>
      <c r="T80" s="319"/>
    </row>
    <row r="81" spans="1:20" ht="14.25" x14ac:dyDescent="0.2">
      <c r="A81" s="252" t="s">
        <v>505</v>
      </c>
      <c r="C81" s="3"/>
      <c r="D81" s="7"/>
      <c r="E81" s="3"/>
      <c r="F81" s="102">
        <f ca="1">'Iterative I-V'!C141-F87</f>
        <v>194.37203747780484</v>
      </c>
      <c r="G81" s="102">
        <f ca="1">'Iterative I-V'!D141-G87</f>
        <v>111.16465309074528</v>
      </c>
      <c r="H81" s="102">
        <f ca="1">'Iterative I-V'!E141-H87</f>
        <v>66.275215586106768</v>
      </c>
      <c r="I81" s="102">
        <f ca="1">'Iterative I-V'!F141-I87</f>
        <v>41.853004350804795</v>
      </c>
      <c r="J81" s="102">
        <f ca="1">'Iterative I-V'!G141-J87</f>
        <v>28.116823725411681</v>
      </c>
      <c r="K81" s="102">
        <f ca="1">'Iterative I-V'!H141-K87</f>
        <v>21.138517048025783</v>
      </c>
      <c r="L81" s="102">
        <f ca="1">'Iterative I-V'!I141-L87</f>
        <v>18.028912274471168</v>
      </c>
      <c r="M81" s="102">
        <f ca="1">'Iterative I-V'!J141-M87</f>
        <v>16.156162162802058</v>
      </c>
      <c r="N81" s="102">
        <f ca="1">'Iterative I-V'!K141-N87</f>
        <v>13.70854977239121</v>
      </c>
      <c r="O81" s="102">
        <f ca="1">'Iterative I-V'!L141-O87</f>
        <v>11.486505421936092</v>
      </c>
      <c r="P81" s="427"/>
      <c r="Q81" s="250"/>
      <c r="R81" s="250"/>
      <c r="S81" s="250"/>
      <c r="T81" s="250"/>
    </row>
    <row r="82" spans="1:20" x14ac:dyDescent="0.2">
      <c r="A82" s="7" t="s">
        <v>304</v>
      </c>
      <c r="B82" s="7"/>
      <c r="C82" s="7"/>
      <c r="D82" s="7"/>
      <c r="E82" s="7"/>
      <c r="F82" s="189">
        <f ca="1">IF($C22="Cu",1/(3.8*100000*$D21*0.0001/2)+1*SQRT(F21/F22)/(6*100000*$D22*0.0001/2),2/(3.8*100000*$D21*0.0001/2))</f>
        <v>7.8423912561365969E-3</v>
      </c>
      <c r="G82" s="189">
        <f t="shared" ref="G82:O82" ca="1" si="54">IF($C22="Cu",1/(3.8*100000*$D21*0.0001/2)+1*SQRT(G21/G22)/(6*100000*$D22*0.0001/2),2/(3.8*100000*$D21*0.0001/2))</f>
        <v>7.8672458330211852E-3</v>
      </c>
      <c r="H82" s="189">
        <f t="shared" ca="1" si="54"/>
        <v>7.8650454261621396E-3</v>
      </c>
      <c r="I82" s="189">
        <f t="shared" ca="1" si="54"/>
        <v>7.8369730722290844E-3</v>
      </c>
      <c r="J82" s="189">
        <f t="shared" ca="1" si="54"/>
        <v>7.7769006607698102E-3</v>
      </c>
      <c r="K82" s="189">
        <f t="shared" ca="1" si="54"/>
        <v>7.7461163021540613E-3</v>
      </c>
      <c r="L82" s="189">
        <f t="shared" ca="1" si="54"/>
        <v>7.7426201226488463E-3</v>
      </c>
      <c r="M82" s="189">
        <f t="shared" ca="1" si="54"/>
        <v>7.7027858197009046E-3</v>
      </c>
      <c r="N82" s="189">
        <f t="shared" ca="1" si="54"/>
        <v>7.7003570950986422E-3</v>
      </c>
      <c r="O82" s="189">
        <f t="shared" ca="1" si="54"/>
        <v>7.6982226491270518E-3</v>
      </c>
      <c r="P82" s="427"/>
      <c r="Q82" s="135"/>
      <c r="R82" s="135"/>
      <c r="S82" s="135"/>
      <c r="T82" s="135"/>
    </row>
    <row r="83" spans="1:20" ht="14.25" x14ac:dyDescent="0.2">
      <c r="A83" s="7" t="s">
        <v>306</v>
      </c>
      <c r="B83" s="7"/>
      <c r="C83" s="7"/>
      <c r="D83" s="7"/>
      <c r="E83" s="7"/>
      <c r="F83" s="190">
        <f ca="1">F82*(F106^2/3+F106*F107)/100</f>
        <v>1.6023839584925497</v>
      </c>
      <c r="G83" s="190">
        <f t="shared" ref="G83:L83" ca="1" si="55">G82*(G106^2/3+G106*G107)/100</f>
        <v>1.6036990498744981</v>
      </c>
      <c r="H83" s="190">
        <f t="shared" ca="1" si="55"/>
        <v>1.6079923895854846</v>
      </c>
      <c r="I83" s="190">
        <f t="shared" ca="1" si="55"/>
        <v>1.5428744510290988</v>
      </c>
      <c r="J83" s="190">
        <f t="shared" ca="1" si="55"/>
        <v>1.5668583489209658</v>
      </c>
      <c r="K83" s="190">
        <f t="shared" ca="1" si="55"/>
        <v>1.4338582645162838</v>
      </c>
      <c r="L83" s="190">
        <f t="shared" ca="1" si="55"/>
        <v>1.4094880821367857</v>
      </c>
      <c r="M83" s="190">
        <f t="shared" ref="M83:O83" ca="1" si="56">M82*(M106^2/3+M106*M107)/100</f>
        <v>1.576471343828115</v>
      </c>
      <c r="N83" s="190">
        <f t="shared" ca="1" si="56"/>
        <v>1.5551863479441819</v>
      </c>
      <c r="O83" s="190">
        <f t="shared" ca="1" si="56"/>
        <v>1.5369870687509097</v>
      </c>
      <c r="P83" s="273"/>
      <c r="Q83" s="273"/>
      <c r="R83" s="273"/>
      <c r="S83" s="273"/>
      <c r="T83" s="273"/>
    </row>
    <row r="84" spans="1:20" ht="14.25" x14ac:dyDescent="0.2">
      <c r="A84" s="252" t="s">
        <v>484</v>
      </c>
      <c r="B84" s="7"/>
      <c r="C84" s="7"/>
      <c r="D84" s="7"/>
      <c r="E84" s="7"/>
      <c r="F84" s="14">
        <f ca="1">(10/3.8+10/IF($C22="Cu",6,3.8))/F35*F109/F108/100000*F102+F49/100*F44/F141*F102</f>
        <v>0.6447255345092906</v>
      </c>
      <c r="G84" s="14">
        <f t="shared" ref="G84:O84" ca="1" si="57">(10/3.8+10/IF($C22="Cu",6,3.8))/G35*G109/G108/100000*G102+G49/100*G44/G141*G102</f>
        <v>0.37143738275306076</v>
      </c>
      <c r="H84" s="14">
        <f t="shared" ca="1" si="57"/>
        <v>0.22325536233319473</v>
      </c>
      <c r="I84" s="14">
        <f t="shared" ca="1" si="57"/>
        <v>0.14552112397529321</v>
      </c>
      <c r="J84" s="14">
        <f t="shared" ca="1" si="57"/>
        <v>9.8361648270137353E-2</v>
      </c>
      <c r="K84" s="14">
        <f t="shared" ca="1" si="57"/>
        <v>8.1924355912148542E-2</v>
      </c>
      <c r="L84" s="14">
        <f t="shared" ca="1" si="57"/>
        <v>8.1344760390177254E-2</v>
      </c>
      <c r="M84" s="14">
        <f t="shared" ca="1" si="57"/>
        <v>7.4894720965893682E-2</v>
      </c>
      <c r="N84" s="14">
        <f t="shared" ca="1" si="57"/>
        <v>7.4468811931559173E-2</v>
      </c>
      <c r="O84" s="14">
        <f t="shared" ca="1" si="57"/>
        <v>7.4105430701880581E-2</v>
      </c>
      <c r="P84" s="311"/>
      <c r="Q84" s="311"/>
      <c r="R84" s="311"/>
      <c r="S84" s="311"/>
      <c r="T84" s="311"/>
    </row>
    <row r="85" spans="1:20" x14ac:dyDescent="0.2">
      <c r="A85" s="252" t="s">
        <v>486</v>
      </c>
      <c r="B85" s="7"/>
      <c r="C85" s="7"/>
      <c r="D85" s="7"/>
      <c r="E85" s="7"/>
      <c r="F85" s="284">
        <f t="shared" ref="F85:L85" ca="1" si="58">F121+F157+F158/(F62*F63^2)</f>
        <v>8.1056744906553396E-5</v>
      </c>
      <c r="G85" s="284">
        <f t="shared" ca="1" si="58"/>
        <v>8.1056744906553396E-5</v>
      </c>
      <c r="H85" s="284">
        <f t="shared" ca="1" si="58"/>
        <v>8.1056744906553396E-5</v>
      </c>
      <c r="I85" s="284">
        <f t="shared" ca="1" si="58"/>
        <v>8.1056744906553396E-5</v>
      </c>
      <c r="J85" s="284">
        <f t="shared" ca="1" si="58"/>
        <v>8.1056744906553396E-5</v>
      </c>
      <c r="K85" s="284">
        <f t="shared" ca="1" si="58"/>
        <v>8.246398503682587E-5</v>
      </c>
      <c r="L85" s="284">
        <f t="shared" ca="1" si="58"/>
        <v>8.5722998301281054E-5</v>
      </c>
      <c r="M85" s="284">
        <f t="shared" ref="M85:O85" ca="1" si="59">M121+M157+M158/(M62*M63^2)</f>
        <v>8.7185368606314918E-5</v>
      </c>
      <c r="N85" s="284">
        <f t="shared" ca="1" si="59"/>
        <v>8.9614774628925009E-5</v>
      </c>
      <c r="O85" s="284">
        <f t="shared" ca="1" si="59"/>
        <v>9.179879840497926E-5</v>
      </c>
      <c r="P85" s="316"/>
      <c r="Q85" s="316"/>
      <c r="R85" s="316"/>
      <c r="S85" s="316"/>
      <c r="T85" s="316"/>
    </row>
    <row r="86" spans="1:20" x14ac:dyDescent="0.2">
      <c r="A86" s="252" t="s">
        <v>485</v>
      </c>
      <c r="B86" s="7"/>
      <c r="C86" s="7"/>
      <c r="D86" s="7"/>
      <c r="E86" s="7"/>
      <c r="F86" s="284">
        <f t="shared" ref="F86:L86" ca="1" si="60">F85/(F58*F59^2)</f>
        <v>6.7547287422127835E-7</v>
      </c>
      <c r="G86" s="284">
        <f t="shared" ca="1" si="60"/>
        <v>6.7547287422127835E-7</v>
      </c>
      <c r="H86" s="284">
        <f t="shared" ca="1" si="60"/>
        <v>6.7547287422127835E-7</v>
      </c>
      <c r="I86" s="284">
        <f t="shared" ca="1" si="60"/>
        <v>6.7547287422127835E-7</v>
      </c>
      <c r="J86" s="284">
        <f t="shared" ca="1" si="60"/>
        <v>6.7547287422127835E-7</v>
      </c>
      <c r="K86" s="284">
        <f t="shared" ca="1" si="60"/>
        <v>6.871998753068823E-7</v>
      </c>
      <c r="L86" s="284">
        <f t="shared" ca="1" si="60"/>
        <v>7.1435831917734211E-7</v>
      </c>
      <c r="M86" s="284">
        <f t="shared" ref="M86:O86" ca="1" si="61">M85/(M58*M59^2)</f>
        <v>7.2654473838595768E-7</v>
      </c>
      <c r="N86" s="284">
        <f t="shared" ca="1" si="61"/>
        <v>7.4678978857437506E-7</v>
      </c>
      <c r="O86" s="284">
        <f t="shared" ca="1" si="61"/>
        <v>7.6498998670816049E-7</v>
      </c>
      <c r="P86" s="102"/>
      <c r="Q86" s="102"/>
      <c r="R86" s="102"/>
      <c r="S86" s="102"/>
      <c r="T86" s="102"/>
    </row>
    <row r="87" spans="1:20" ht="14.25" x14ac:dyDescent="0.2">
      <c r="A87" s="260" t="s">
        <v>532</v>
      </c>
      <c r="C87" s="6"/>
      <c r="D87" s="7"/>
      <c r="E87" s="39"/>
      <c r="F87" s="66">
        <f ca="1">F83+F84+F86*F102</f>
        <v>2.281746766921986</v>
      </c>
      <c r="G87" s="66">
        <f t="shared" ref="G87:L87" ca="1" si="62">G83+G84+G86*G102</f>
        <v>1.995067624179079</v>
      </c>
      <c r="H87" s="66">
        <f t="shared" ca="1" si="62"/>
        <v>1.8432456791943237</v>
      </c>
      <c r="I87" s="66">
        <f t="shared" ca="1" si="62"/>
        <v>1.6960660151384928</v>
      </c>
      <c r="J87" s="66">
        <f t="shared" ca="1" si="62"/>
        <v>1.6704665300039845</v>
      </c>
      <c r="K87" s="66">
        <f t="shared" ca="1" si="62"/>
        <v>1.5200332372868981</v>
      </c>
      <c r="L87" s="66">
        <f t="shared" ca="1" si="62"/>
        <v>1.4951700250717284</v>
      </c>
      <c r="M87" s="66">
        <f t="shared" ref="M87:O87" ca="1" si="63">M83+M84+M86*M102</f>
        <v>1.6556727614054287</v>
      </c>
      <c r="N87" s="66">
        <f t="shared" ca="1" si="63"/>
        <v>1.6340171721115768</v>
      </c>
      <c r="O87" s="66">
        <f t="shared" ca="1" si="63"/>
        <v>1.61550420581111</v>
      </c>
      <c r="P87" s="172"/>
      <c r="Q87" s="172"/>
      <c r="R87" s="172"/>
      <c r="S87" s="172"/>
      <c r="T87" s="172"/>
    </row>
    <row r="88" spans="1:20" ht="14.25" x14ac:dyDescent="0.2">
      <c r="A88" t="s">
        <v>303</v>
      </c>
      <c r="C88" s="6"/>
      <c r="F88" s="20">
        <f t="shared" ref="F88:L88" ca="1" si="64">F81+F87</f>
        <v>196.65378424472684</v>
      </c>
      <c r="G88" s="20">
        <f t="shared" ca="1" si="64"/>
        <v>113.15972071492436</v>
      </c>
      <c r="H88" s="20">
        <f t="shared" ca="1" si="64"/>
        <v>68.118461265301093</v>
      </c>
      <c r="I88" s="20">
        <f t="shared" ca="1" si="64"/>
        <v>43.549070365943287</v>
      </c>
      <c r="J88" s="20">
        <f t="shared" ca="1" si="64"/>
        <v>29.787290255415666</v>
      </c>
      <c r="K88" s="20">
        <f t="shared" ca="1" si="64"/>
        <v>22.658550285312682</v>
      </c>
      <c r="L88" s="20">
        <f t="shared" ca="1" si="64"/>
        <v>19.524082299542897</v>
      </c>
      <c r="M88" s="20">
        <f t="shared" ref="M88:O88" ca="1" si="65">M81+M87</f>
        <v>17.811834924207488</v>
      </c>
      <c r="N88" s="20">
        <f t="shared" ca="1" si="65"/>
        <v>15.342566944502787</v>
      </c>
      <c r="O88" s="20">
        <f t="shared" ca="1" si="65"/>
        <v>13.102009627747202</v>
      </c>
      <c r="P88" s="427"/>
      <c r="Q88" s="312"/>
      <c r="R88" s="312"/>
      <c r="S88" s="312"/>
      <c r="T88" s="312"/>
    </row>
    <row r="89" spans="1:20" ht="14.25" x14ac:dyDescent="0.2">
      <c r="A89" t="s">
        <v>876</v>
      </c>
      <c r="C89" s="4"/>
      <c r="F89" s="20">
        <f ca="1">F87+'Iterative I-V'!C142</f>
        <v>423.33784751033022</v>
      </c>
      <c r="G89" s="464">
        <f ca="1">G87+'Iterative I-V'!D142</f>
        <v>239.63282035566377</v>
      </c>
      <c r="H89" s="464">
        <f ca="1">H87+'Iterative I-V'!E142</f>
        <v>140.81607385951244</v>
      </c>
      <c r="I89" s="464">
        <f ca="1">I87+'Iterative I-V'!F142</f>
        <v>86.939470386342109</v>
      </c>
      <c r="J89" s="464">
        <f ca="1">J87+'Iterative I-V'!G142</f>
        <v>62.858165214334946</v>
      </c>
      <c r="K89" s="464">
        <f ca="1">K87+'Iterative I-V'!H142</f>
        <v>47.364576826126651</v>
      </c>
      <c r="L89" s="464">
        <f ca="1">L87+'Iterative I-V'!I142</f>
        <v>39.619057973215625</v>
      </c>
      <c r="M89" s="464">
        <f ca="1">M87+'Iterative I-V'!J142</f>
        <v>32.968137731076602</v>
      </c>
      <c r="N89" s="464">
        <f ca="1">N87+'Iterative I-V'!K142</f>
        <v>26.631717512319447</v>
      </c>
      <c r="O89" s="464">
        <f ca="1">O87+'Iterative I-V'!L142</f>
        <v>21.06802445204908</v>
      </c>
      <c r="P89" s="427"/>
      <c r="Q89" s="250"/>
      <c r="R89" s="317"/>
      <c r="S89" s="317"/>
      <c r="T89" s="317"/>
    </row>
    <row r="90" spans="1:20" ht="15" x14ac:dyDescent="0.25">
      <c r="A90" s="258" t="s">
        <v>408</v>
      </c>
      <c r="F90" s="256"/>
      <c r="G90" s="256"/>
      <c r="H90" s="256"/>
      <c r="I90" s="256"/>
      <c r="J90" s="256"/>
      <c r="K90" s="256"/>
      <c r="L90" s="256"/>
      <c r="M90" s="256"/>
      <c r="N90" s="256"/>
      <c r="O90" s="256"/>
      <c r="P90" s="312"/>
      <c r="Q90" s="312"/>
      <c r="R90" s="312"/>
      <c r="S90" s="312"/>
      <c r="T90" s="312"/>
    </row>
    <row r="91" spans="1:20" x14ac:dyDescent="0.2">
      <c r="A91" s="252" t="s">
        <v>530</v>
      </c>
      <c r="F91" s="66">
        <f t="shared" ref="F91:L91" si="66">F39*F42/F41</f>
        <v>1.1866473149492016</v>
      </c>
      <c r="G91" s="66">
        <f t="shared" si="66"/>
        <v>1.1866473149492016</v>
      </c>
      <c r="H91" s="66">
        <f t="shared" si="66"/>
        <v>1.1866473149492016</v>
      </c>
      <c r="I91" s="66">
        <f t="shared" si="66"/>
        <v>1.1866473149492016</v>
      </c>
      <c r="J91" s="66">
        <f t="shared" si="66"/>
        <v>1.1866473149492016</v>
      </c>
      <c r="K91" s="66">
        <f t="shared" si="66"/>
        <v>1.1866473149492016</v>
      </c>
      <c r="L91" s="66">
        <f t="shared" si="66"/>
        <v>1.1866473149492016</v>
      </c>
      <c r="M91" s="66">
        <f t="shared" ref="M91:O91" si="67">M39*M42/M41</f>
        <v>1.1866473149492016</v>
      </c>
      <c r="N91" s="66">
        <f t="shared" si="67"/>
        <v>1.1866473149492016</v>
      </c>
      <c r="O91" s="66">
        <f t="shared" si="67"/>
        <v>1.1866473149492016</v>
      </c>
      <c r="P91" s="135"/>
      <c r="Q91" s="135"/>
      <c r="R91" s="135"/>
      <c r="S91" s="135"/>
      <c r="T91" s="135"/>
    </row>
    <row r="92" spans="1:20" x14ac:dyDescent="0.2">
      <c r="A92" s="252" t="s">
        <v>490</v>
      </c>
      <c r="F92" s="6">
        <f>F48</f>
        <v>200</v>
      </c>
      <c r="G92" s="473">
        <f t="shared" ref="G92:O92" si="68">G48</f>
        <v>200</v>
      </c>
      <c r="H92" s="473">
        <f t="shared" si="68"/>
        <v>200</v>
      </c>
      <c r="I92" s="473">
        <f t="shared" si="68"/>
        <v>200</v>
      </c>
      <c r="J92" s="473">
        <f t="shared" si="68"/>
        <v>200</v>
      </c>
      <c r="K92" s="473">
        <f t="shared" si="68"/>
        <v>200</v>
      </c>
      <c r="L92" s="473">
        <f t="shared" si="68"/>
        <v>200</v>
      </c>
      <c r="M92" s="473">
        <f t="shared" si="68"/>
        <v>200</v>
      </c>
      <c r="N92" s="473">
        <f t="shared" si="68"/>
        <v>200</v>
      </c>
      <c r="O92" s="473">
        <f t="shared" si="68"/>
        <v>200</v>
      </c>
      <c r="P92" s="250"/>
      <c r="Q92" s="137"/>
      <c r="R92" s="137"/>
      <c r="S92" s="137"/>
      <c r="T92" s="137"/>
    </row>
    <row r="93" spans="1:20" x14ac:dyDescent="0.2">
      <c r="A93" s="252" t="s">
        <v>540</v>
      </c>
      <c r="F93" s="6">
        <f>F48*F91</f>
        <v>237.32946298984032</v>
      </c>
      <c r="G93" s="473">
        <f t="shared" ref="G93:O93" si="69">G48*G91</f>
        <v>237.32946298984032</v>
      </c>
      <c r="H93" s="473">
        <f t="shared" si="69"/>
        <v>237.32946298984032</v>
      </c>
      <c r="I93" s="473">
        <f t="shared" si="69"/>
        <v>237.32946298984032</v>
      </c>
      <c r="J93" s="473">
        <f t="shared" si="69"/>
        <v>237.32946298984032</v>
      </c>
      <c r="K93" s="473">
        <f t="shared" si="69"/>
        <v>237.32946298984032</v>
      </c>
      <c r="L93" s="473">
        <f t="shared" si="69"/>
        <v>237.32946298984032</v>
      </c>
      <c r="M93" s="473">
        <f t="shared" si="69"/>
        <v>237.32946298984032</v>
      </c>
      <c r="N93" s="473">
        <f t="shared" si="69"/>
        <v>237.32946298984032</v>
      </c>
      <c r="O93" s="473">
        <f t="shared" si="69"/>
        <v>237.32946298984032</v>
      </c>
      <c r="P93" s="250"/>
      <c r="Q93" s="313"/>
      <c r="R93" s="313"/>
      <c r="S93" s="313"/>
      <c r="T93" s="313"/>
    </row>
    <row r="94" spans="1:20" x14ac:dyDescent="0.2">
      <c r="A94" s="252" t="s">
        <v>541</v>
      </c>
      <c r="F94" s="6">
        <f t="shared" ref="F94:K94" si="70">MAX(F92:F93)</f>
        <v>237.32946298984032</v>
      </c>
      <c r="G94" s="6">
        <f t="shared" si="70"/>
        <v>237.32946298984032</v>
      </c>
      <c r="H94" s="6">
        <f t="shared" si="70"/>
        <v>237.32946298984032</v>
      </c>
      <c r="I94" s="6">
        <f t="shared" si="70"/>
        <v>237.32946298984032</v>
      </c>
      <c r="J94" s="6">
        <f t="shared" si="70"/>
        <v>237.32946298984032</v>
      </c>
      <c r="K94" s="6">
        <f t="shared" si="70"/>
        <v>237.32946298984032</v>
      </c>
      <c r="L94" s="6">
        <f t="shared" ref="L94:M94" si="71">MAX(L92:L93)</f>
        <v>237.32946298984032</v>
      </c>
      <c r="M94" s="6">
        <f t="shared" si="71"/>
        <v>237.32946298984032</v>
      </c>
      <c r="N94" s="6">
        <f t="shared" ref="N94:O94" si="72">MAX(N92:N93)</f>
        <v>237.32946298984032</v>
      </c>
      <c r="O94" s="6">
        <f t="shared" si="72"/>
        <v>237.32946298984032</v>
      </c>
      <c r="P94" s="482"/>
      <c r="Q94" s="102"/>
      <c r="R94" s="102"/>
      <c r="S94" s="102"/>
      <c r="T94" s="102"/>
    </row>
    <row r="95" spans="1:20" x14ac:dyDescent="0.2">
      <c r="A95" t="s">
        <v>440</v>
      </c>
      <c r="F95" s="103">
        <f ca="1">F77/F39/F100*10000</f>
        <v>24.460965277684249</v>
      </c>
      <c r="G95" s="103">
        <f t="shared" ref="G95:L95" ca="1" si="73">G77/G39/G100*10000</f>
        <v>42.3913976575597</v>
      </c>
      <c r="H95" s="103">
        <f t="shared" ca="1" si="73"/>
        <v>70.140147468335769</v>
      </c>
      <c r="I95" s="103">
        <f t="shared" ca="1" si="73"/>
        <v>109.11551369708353</v>
      </c>
      <c r="J95" s="103">
        <f t="shared" ca="1" si="73"/>
        <v>160.54793573564152</v>
      </c>
      <c r="K95" s="103">
        <f t="shared" ca="1" si="73"/>
        <v>200.00000000000011</v>
      </c>
      <c r="L95" s="103">
        <f t="shared" ca="1" si="73"/>
        <v>200.00000000000017</v>
      </c>
      <c r="M95" s="103">
        <f t="shared" ref="M95:O95" ca="1" si="74">M77/M39/M100*10000</f>
        <v>200</v>
      </c>
      <c r="N95" s="103">
        <f t="shared" ca="1" si="74"/>
        <v>200.00000000000003</v>
      </c>
      <c r="O95" s="103">
        <f t="shared" ca="1" si="74"/>
        <v>200</v>
      </c>
      <c r="P95" s="482"/>
      <c r="Q95" s="314"/>
      <c r="R95" s="314"/>
      <c r="S95" s="314"/>
      <c r="T95" s="314"/>
    </row>
    <row r="96" spans="1:20" x14ac:dyDescent="0.2">
      <c r="A96" t="s">
        <v>441</v>
      </c>
      <c r="F96" s="103">
        <f ca="1">F42*F77/F41/F100*10000</f>
        <v>29.026538767829674</v>
      </c>
      <c r="G96" s="103">
        <f t="shared" ref="G96:L96" ca="1" si="75">G42*G77/G41/G100*10000</f>
        <v>50.303638207287101</v>
      </c>
      <c r="H96" s="103">
        <f t="shared" ca="1" si="75"/>
        <v>83.231617663441696</v>
      </c>
      <c r="I96" s="103">
        <f t="shared" ca="1" si="75"/>
        <v>129.48163134794697</v>
      </c>
      <c r="J96" s="103">
        <f t="shared" ca="1" si="75"/>
        <v>190.513776861336</v>
      </c>
      <c r="K96" s="103">
        <f t="shared" ca="1" si="75"/>
        <v>237.32946298984047</v>
      </c>
      <c r="L96" s="103">
        <f t="shared" ca="1" si="75"/>
        <v>237.32946298984049</v>
      </c>
      <c r="M96" s="103">
        <f t="shared" ref="M96:O96" ca="1" si="76">M42*M77/M41/M100*10000</f>
        <v>237.32946298984038</v>
      </c>
      <c r="N96" s="103">
        <f t="shared" ca="1" si="76"/>
        <v>237.32946298984032</v>
      </c>
      <c r="O96" s="103">
        <f t="shared" ca="1" si="76"/>
        <v>237.32946298984038</v>
      </c>
      <c r="P96" s="482"/>
      <c r="Q96" s="102"/>
      <c r="R96" s="102"/>
      <c r="S96" s="102"/>
      <c r="T96" s="102"/>
    </row>
    <row r="97" spans="1:20" x14ac:dyDescent="0.2">
      <c r="A97" s="7" t="s">
        <v>290</v>
      </c>
      <c r="B97" s="7"/>
      <c r="C97" s="7"/>
      <c r="D97" s="7"/>
      <c r="F97" s="103">
        <f ca="1">'Iterative I-V'!C132</f>
        <v>24.460965277507523</v>
      </c>
      <c r="G97" s="103">
        <f ca="1">'Iterative I-V'!D132</f>
        <v>42.391397657558727</v>
      </c>
      <c r="H97" s="103">
        <f ca="1">'Iterative I-V'!E132</f>
        <v>70.14014746833719</v>
      </c>
      <c r="I97" s="103">
        <f ca="1">'Iterative I-V'!F132</f>
        <v>109.11551369708545</v>
      </c>
      <c r="J97" s="103">
        <f ca="1">'Iterative I-V'!G132</f>
        <v>160.54793573569086</v>
      </c>
      <c r="K97" s="103">
        <f ca="1">'Iterative I-V'!H132</f>
        <v>200</v>
      </c>
      <c r="L97" s="103">
        <f ca="1">'Iterative I-V'!I132</f>
        <v>200</v>
      </c>
      <c r="M97" s="103">
        <f ca="1">'Iterative I-V'!J132</f>
        <v>200</v>
      </c>
      <c r="N97" s="103">
        <f ca="1">'Iterative I-V'!K132</f>
        <v>200</v>
      </c>
      <c r="O97" s="103">
        <f ca="1">'Iterative I-V'!L132</f>
        <v>200</v>
      </c>
      <c r="P97" s="482"/>
      <c r="Q97" s="315"/>
      <c r="R97" s="315"/>
      <c r="S97" s="315"/>
      <c r="T97" s="315"/>
    </row>
    <row r="98" spans="1:20" x14ac:dyDescent="0.2">
      <c r="A98" s="7" t="s">
        <v>173</v>
      </c>
      <c r="B98" s="7"/>
      <c r="C98" s="7"/>
      <c r="D98" s="7"/>
      <c r="F98" s="103">
        <f ca="1">'Iterative I-V'!C133</f>
        <v>29.026538767619954</v>
      </c>
      <c r="G98" s="103">
        <f ca="1">'Iterative I-V'!D133</f>
        <v>50.303638207285935</v>
      </c>
      <c r="H98" s="103">
        <f ca="1">'Iterative I-V'!E133</f>
        <v>83.231617663443373</v>
      </c>
      <c r="I98" s="103">
        <f ca="1">'Iterative I-V'!F133</f>
        <v>129.48163134794927</v>
      </c>
      <c r="J98" s="103">
        <f ca="1">'Iterative I-V'!G133</f>
        <v>190.51377686139452</v>
      </c>
      <c r="K98" s="103">
        <f ca="1">'Iterative I-V'!H133</f>
        <v>237.32946298984032</v>
      </c>
      <c r="L98" s="103">
        <f ca="1">'Iterative I-V'!I133</f>
        <v>237.32946298984032</v>
      </c>
      <c r="M98" s="103">
        <f ca="1">'Iterative I-V'!J133</f>
        <v>237.32946298984032</v>
      </c>
      <c r="N98" s="103">
        <f ca="1">'Iterative I-V'!K133</f>
        <v>237.32946298984032</v>
      </c>
      <c r="O98" s="103">
        <f ca="1">'Iterative I-V'!L133</f>
        <v>237.32946298984032</v>
      </c>
      <c r="P98" s="482"/>
      <c r="Q98" s="102"/>
      <c r="R98" s="102"/>
      <c r="S98" s="102"/>
      <c r="T98" s="102"/>
    </row>
    <row r="99" spans="1:20" ht="17.25" x14ac:dyDescent="0.25">
      <c r="A99" s="258" t="s">
        <v>563</v>
      </c>
      <c r="F99" s="256"/>
      <c r="G99" s="256"/>
      <c r="H99" s="256"/>
      <c r="I99" s="256"/>
      <c r="J99" s="256"/>
      <c r="K99" s="256"/>
      <c r="L99" s="256"/>
      <c r="M99" s="256"/>
      <c r="N99" s="256"/>
      <c r="O99" s="256"/>
      <c r="P99" s="265"/>
      <c r="Q99" s="265"/>
      <c r="R99" s="265"/>
      <c r="S99" s="265"/>
      <c r="T99" s="265"/>
    </row>
    <row r="100" spans="1:20" x14ac:dyDescent="0.2">
      <c r="A100" t="s">
        <v>179</v>
      </c>
      <c r="F100" s="125">
        <f ca="1">'Iterative I-V'!C134</f>
        <v>51278.556463614914</v>
      </c>
      <c r="G100" s="125">
        <f ca="1">'Iterative I-V'!D134</f>
        <v>29507.01991474989</v>
      </c>
      <c r="H100" s="125">
        <f ca="1">'Iterative I-V'!E134</f>
        <v>17762.263643045371</v>
      </c>
      <c r="I100" s="125">
        <f ca="1">'Iterative I-V'!F134</f>
        <v>11355.659756053827</v>
      </c>
      <c r="J100" s="125">
        <f ca="1">'Iterative I-V'!G134</f>
        <v>7767.1998582152373</v>
      </c>
      <c r="K100" s="125">
        <f ca="1">'Iterative I-V'!H134</f>
        <v>6185.4156428178849</v>
      </c>
      <c r="L100" s="125">
        <f ca="1">'Iterative I-V'!I134</f>
        <v>6071.4384200915547</v>
      </c>
      <c r="M100" s="125">
        <f ca="1">'Iterative I-V'!J134</f>
        <v>5927.6413190843869</v>
      </c>
      <c r="N100" s="125">
        <f ca="1">'Iterative I-V'!K134</f>
        <v>5841.0175160039207</v>
      </c>
      <c r="O100" s="125">
        <f ca="1">'Iterative I-V'!L134</f>
        <v>5767.0119020821649</v>
      </c>
      <c r="P100" s="427"/>
      <c r="Q100" s="482"/>
      <c r="R100" s="265"/>
      <c r="S100" s="265"/>
      <c r="T100" s="265"/>
    </row>
    <row r="101" spans="1:20" x14ac:dyDescent="0.2">
      <c r="A101" t="s">
        <v>181</v>
      </c>
      <c r="F101" s="125">
        <f ca="1">F100*F95/F48</f>
        <v>6271.6149457312786</v>
      </c>
      <c r="G101" s="125">
        <f t="shared" ref="G101:O101" ca="1" si="77">G100*G95/G48</f>
        <v>6254.2190744784803</v>
      </c>
      <c r="H101" s="125">
        <f t="shared" ca="1" si="77"/>
        <v>6229.2389564733066</v>
      </c>
      <c r="I101" s="125">
        <f t="shared" ca="1" si="77"/>
        <v>6195.3932382555577</v>
      </c>
      <c r="J101" s="125">
        <f t="shared" ca="1" si="77"/>
        <v>6235.0395184131185</v>
      </c>
      <c r="K101" s="125">
        <f t="shared" ca="1" si="77"/>
        <v>6185.4156428178885</v>
      </c>
      <c r="L101" s="125">
        <f t="shared" ca="1" si="77"/>
        <v>6071.4384200915601</v>
      </c>
      <c r="M101" s="125">
        <f t="shared" ca="1" si="77"/>
        <v>5927.6413190843859</v>
      </c>
      <c r="N101" s="125">
        <f t="shared" ca="1" si="77"/>
        <v>5841.0175160039216</v>
      </c>
      <c r="O101" s="125">
        <f t="shared" ca="1" si="77"/>
        <v>5767.0119020821639</v>
      </c>
      <c r="P101" s="482"/>
      <c r="Q101" s="265"/>
      <c r="R101" s="265"/>
      <c r="S101" s="265"/>
      <c r="T101" s="265"/>
    </row>
    <row r="102" spans="1:20" ht="14.25" x14ac:dyDescent="0.2">
      <c r="A102" t="s">
        <v>289</v>
      </c>
      <c r="C102" s="4"/>
      <c r="F102" s="128">
        <f ca="1">MAX(F100:F101)</f>
        <v>51278.556463614914</v>
      </c>
      <c r="G102" s="128">
        <f t="shared" ref="G102:O102" ca="1" si="78">MAX(G100:G101)</f>
        <v>29507.01991474989</v>
      </c>
      <c r="H102" s="128">
        <f t="shared" ca="1" si="78"/>
        <v>17762.263643045371</v>
      </c>
      <c r="I102" s="128">
        <f t="shared" ca="1" si="78"/>
        <v>11355.659756053827</v>
      </c>
      <c r="J102" s="128">
        <f t="shared" ca="1" si="78"/>
        <v>7767.1998582152373</v>
      </c>
      <c r="K102" s="128">
        <f t="shared" ca="1" si="78"/>
        <v>6185.4156428178885</v>
      </c>
      <c r="L102" s="128">
        <f t="shared" ca="1" si="78"/>
        <v>6071.4384200915601</v>
      </c>
      <c r="M102" s="128">
        <f t="shared" ca="1" si="78"/>
        <v>5927.6413190843869</v>
      </c>
      <c r="N102" s="128">
        <f t="shared" ca="1" si="78"/>
        <v>5841.0175160039216</v>
      </c>
      <c r="O102" s="128">
        <f t="shared" ca="1" si="78"/>
        <v>5767.0119020821649</v>
      </c>
      <c r="P102" s="482"/>
      <c r="Q102" s="311"/>
      <c r="R102" s="311"/>
      <c r="S102" s="311"/>
      <c r="T102" s="311"/>
    </row>
    <row r="103" spans="1:20" ht="15" x14ac:dyDescent="0.25">
      <c r="A103" s="258" t="s">
        <v>240</v>
      </c>
      <c r="C103" s="4"/>
      <c r="F103" s="177"/>
      <c r="G103" s="177"/>
      <c r="H103" s="177"/>
      <c r="I103" s="177"/>
      <c r="J103" s="177"/>
      <c r="K103" s="177"/>
      <c r="L103" s="177"/>
      <c r="M103" s="177"/>
      <c r="N103" s="177"/>
      <c r="O103" s="177"/>
      <c r="P103" s="314"/>
      <c r="Q103" s="314"/>
      <c r="R103" s="314"/>
      <c r="S103" s="314"/>
      <c r="T103" s="314"/>
    </row>
    <row r="104" spans="1:20" x14ac:dyDescent="0.2">
      <c r="A104" s="48" t="s">
        <v>307</v>
      </c>
      <c r="E104" s="358"/>
      <c r="F104" s="30">
        <f ca="1">'Iterative I-V'!C136/2</f>
        <v>52</v>
      </c>
      <c r="G104" s="30">
        <f ca="1">'Iterative I-V'!D136/2</f>
        <v>30</v>
      </c>
      <c r="H104" s="30">
        <f ca="1">'Iterative I-V'!E136/2</f>
        <v>18</v>
      </c>
      <c r="I104" s="30">
        <f ca="1">'Iterative I-V'!F136/2</f>
        <v>12</v>
      </c>
      <c r="J104" s="30">
        <f ca="1">'Iterative I-V'!G136/2</f>
        <v>8</v>
      </c>
      <c r="K104" s="30">
        <f ca="1">'Iterative I-V'!H136/2</f>
        <v>7</v>
      </c>
      <c r="L104" s="30">
        <f ca="1">'Iterative I-V'!I136/2</f>
        <v>7</v>
      </c>
      <c r="M104" s="30">
        <f ca="1">'Iterative I-V'!J136/2</f>
        <v>6</v>
      </c>
      <c r="N104" s="30">
        <f ca="1">'Iterative I-V'!K136/2</f>
        <v>6</v>
      </c>
      <c r="O104" s="30">
        <f ca="1">'Iterative I-V'!L136/2</f>
        <v>6</v>
      </c>
      <c r="P104" s="427"/>
      <c r="Q104" s="433"/>
      <c r="R104" s="314"/>
      <c r="S104" s="314"/>
      <c r="T104" s="314"/>
    </row>
    <row r="105" spans="1:20" x14ac:dyDescent="0.2">
      <c r="A105" s="48" t="s">
        <v>346</v>
      </c>
      <c r="C105" s="4"/>
      <c r="F105" s="177">
        <f ca="1">'Flow and System'!C62*10</f>
        <v>222.05022920857613</v>
      </c>
      <c r="G105" s="177">
        <f ca="1">'Flow and System'!D62*10</f>
        <v>221.76195914669862</v>
      </c>
      <c r="H105" s="177">
        <f ca="1">'Flow and System'!E62*10</f>
        <v>222.12523771665971</v>
      </c>
      <c r="I105" s="177">
        <f ca="1">'Flow and System'!F62*10</f>
        <v>217.52068633479081</v>
      </c>
      <c r="J105" s="177">
        <f ca="1">'Flow and System'!G62*10</f>
        <v>220.32929699397704</v>
      </c>
      <c r="K105" s="177">
        <f ca="1">'Flow and System'!H62*10</f>
        <v>210.19405392599003</v>
      </c>
      <c r="L105" s="177">
        <f ca="1">'Flow and System'!I62*10</f>
        <v>208.24845086186886</v>
      </c>
      <c r="M105" s="177">
        <f ca="1">'Flow and System'!J62*10</f>
        <v>222.25438351665844</v>
      </c>
      <c r="N105" s="177">
        <f ca="1">'Flow and System'!K62*10</f>
        <v>220.6244455328995</v>
      </c>
      <c r="O105" s="177">
        <f ca="1">'Flow and System'!L62*10</f>
        <v>219.22233580853793</v>
      </c>
      <c r="P105" s="427"/>
      <c r="Q105" s="314"/>
      <c r="R105" s="314"/>
      <c r="S105" s="314"/>
      <c r="T105" s="314"/>
    </row>
    <row r="106" spans="1:20" x14ac:dyDescent="0.2">
      <c r="A106" s="48" t="s">
        <v>347</v>
      </c>
      <c r="C106" s="4"/>
      <c r="F106" s="177">
        <f ca="1">'Flow and System'!C63*10</f>
        <v>222.05022920857613</v>
      </c>
      <c r="G106" s="177">
        <f ca="1">'Flow and System'!D63*10</f>
        <v>221.76195914669859</v>
      </c>
      <c r="H106" s="177">
        <f ca="1">'Flow and System'!E63*10</f>
        <v>222.12523771665971</v>
      </c>
      <c r="I106" s="177">
        <f ca="1">'Flow and System'!F63*10</f>
        <v>217.52068633479084</v>
      </c>
      <c r="J106" s="177">
        <f ca="1">'Flow and System'!G63*10</f>
        <v>220.32929699397704</v>
      </c>
      <c r="K106" s="177">
        <f ca="1">'Flow and System'!H63*10</f>
        <v>210.19405392599003</v>
      </c>
      <c r="L106" s="177">
        <f ca="1">'Flow and System'!I63*10</f>
        <v>208.24845086186886</v>
      </c>
      <c r="M106" s="177">
        <f ca="1">'Flow and System'!J63*10</f>
        <v>222.25438351665841</v>
      </c>
      <c r="N106" s="177">
        <f ca="1">'Flow and System'!K63*10</f>
        <v>220.6244455328995</v>
      </c>
      <c r="O106" s="177">
        <f ca="1">'Flow and System'!L63*10</f>
        <v>219.22233580853796</v>
      </c>
      <c r="P106" s="427"/>
      <c r="Q106" s="314"/>
      <c r="R106" s="314"/>
      <c r="S106" s="314"/>
      <c r="T106" s="314"/>
    </row>
    <row r="107" spans="1:20" x14ac:dyDescent="0.2">
      <c r="A107" s="48" t="s">
        <v>305</v>
      </c>
      <c r="C107" s="4"/>
      <c r="F107" s="177">
        <f>'Flow and System'!C69+'Flow and System'!C68</f>
        <v>18</v>
      </c>
      <c r="G107" s="177">
        <f>'Flow and System'!D69+'Flow and System'!D68</f>
        <v>18</v>
      </c>
      <c r="H107" s="177">
        <f>'Flow and System'!E69+'Flow and System'!E68</f>
        <v>18</v>
      </c>
      <c r="I107" s="177">
        <f>'Flow and System'!F69+'Flow and System'!F68</f>
        <v>18</v>
      </c>
      <c r="J107" s="177">
        <f>'Flow and System'!G69+'Flow and System'!G68</f>
        <v>18</v>
      </c>
      <c r="K107" s="177">
        <f>'Flow and System'!H69+'Flow and System'!H68</f>
        <v>18</v>
      </c>
      <c r="L107" s="177">
        <f>'Flow and System'!I69+'Flow and System'!I68</f>
        <v>18</v>
      </c>
      <c r="M107" s="177">
        <f>'Flow and System'!J69+'Flow and System'!J68</f>
        <v>18</v>
      </c>
      <c r="N107" s="177">
        <f>'Flow and System'!K69+'Flow and System'!K68</f>
        <v>18</v>
      </c>
      <c r="O107" s="177">
        <f>'Flow and System'!L69+'Flow and System'!L68</f>
        <v>18</v>
      </c>
      <c r="P107" s="427"/>
      <c r="R107" s="267"/>
      <c r="S107" s="267"/>
      <c r="T107" s="267"/>
    </row>
    <row r="108" spans="1:20" x14ac:dyDescent="0.2">
      <c r="A108" s="48" t="s">
        <v>253</v>
      </c>
      <c r="C108" s="4"/>
      <c r="F108" s="177">
        <f ca="1">F105/4</f>
        <v>55.512557302144032</v>
      </c>
      <c r="G108" s="177">
        <f t="shared" ref="G108:O108" ca="1" si="79">G105/4</f>
        <v>55.440489786674654</v>
      </c>
      <c r="H108" s="177">
        <f t="shared" ca="1" si="79"/>
        <v>55.531309429164928</v>
      </c>
      <c r="I108" s="177">
        <f t="shared" ca="1" si="79"/>
        <v>54.380171583697702</v>
      </c>
      <c r="J108" s="177">
        <f t="shared" ca="1" si="79"/>
        <v>55.08232424849426</v>
      </c>
      <c r="K108" s="177">
        <f t="shared" ca="1" si="79"/>
        <v>52.548513481497508</v>
      </c>
      <c r="L108" s="177">
        <f t="shared" ca="1" si="79"/>
        <v>52.062112715467215</v>
      </c>
      <c r="M108" s="177">
        <f t="shared" ca="1" si="79"/>
        <v>55.563595879164609</v>
      </c>
      <c r="N108" s="177">
        <f t="shared" ca="1" si="79"/>
        <v>55.156111383224875</v>
      </c>
      <c r="O108" s="177">
        <f t="shared" ca="1" si="79"/>
        <v>54.805583952134484</v>
      </c>
      <c r="P108" s="427"/>
      <c r="Q108" s="314"/>
      <c r="R108" s="314"/>
      <c r="S108" s="314"/>
      <c r="T108" s="314"/>
    </row>
    <row r="109" spans="1:20" x14ac:dyDescent="0.2">
      <c r="A109" s="48" t="s">
        <v>300</v>
      </c>
      <c r="C109" s="4"/>
      <c r="F109" s="177">
        <f>'Flow and System'!C70</f>
        <v>15</v>
      </c>
      <c r="G109" s="177">
        <f>'Flow and System'!D70</f>
        <v>15</v>
      </c>
      <c r="H109" s="177">
        <f>'Flow and System'!E70</f>
        <v>15</v>
      </c>
      <c r="I109" s="177">
        <f>'Flow and System'!F70</f>
        <v>15</v>
      </c>
      <c r="J109" s="177">
        <f>'Flow and System'!G70</f>
        <v>15</v>
      </c>
      <c r="K109" s="177">
        <f>'Flow and System'!H70</f>
        <v>15</v>
      </c>
      <c r="L109" s="177">
        <f>'Flow and System'!I70</f>
        <v>15</v>
      </c>
      <c r="M109" s="177">
        <f>'Flow and System'!J70</f>
        <v>15</v>
      </c>
      <c r="N109" s="177">
        <f>'Flow and System'!K70</f>
        <v>15</v>
      </c>
      <c r="O109" s="177">
        <f>'Flow and System'!L70</f>
        <v>15</v>
      </c>
      <c r="P109" s="427"/>
      <c r="Q109" s="314"/>
      <c r="R109" s="314"/>
      <c r="S109" s="314"/>
      <c r="T109" s="314"/>
    </row>
    <row r="110" spans="1:20" x14ac:dyDescent="0.2">
      <c r="A110" s="48" t="s">
        <v>241</v>
      </c>
      <c r="C110" s="4"/>
      <c r="F110" s="177">
        <f ca="1">F105+2*F34+2*'Flow and System'!C68+2*'Flow and System'!C71</f>
        <v>234.25022920857612</v>
      </c>
      <c r="G110" s="177">
        <f ca="1">G105+2*G34+2*'Flow and System'!D68</f>
        <v>233.76195914669862</v>
      </c>
      <c r="H110" s="177">
        <f ca="1">H105+2*H34+2*'Flow and System'!E68</f>
        <v>234.12523771665971</v>
      </c>
      <c r="I110" s="177">
        <f ca="1">I105+2*I34+2*'Flow and System'!F68</f>
        <v>229.52068633479081</v>
      </c>
      <c r="J110" s="177">
        <f ca="1">J105+2*J34+2*'Flow and System'!G68</f>
        <v>232.32929699397704</v>
      </c>
      <c r="K110" s="177">
        <f ca="1">K105+2*K34+2*'Flow and System'!H68</f>
        <v>222.19405392599003</v>
      </c>
      <c r="L110" s="177">
        <f ca="1">L105+2*L34+2*'Flow and System'!I68</f>
        <v>220.24845086186886</v>
      </c>
      <c r="M110" s="177">
        <f ca="1">M105+2*M34+2*'Flow and System'!J68</f>
        <v>234.25438351665844</v>
      </c>
      <c r="N110" s="177">
        <f ca="1">N105+2*N34+2*'Flow and System'!K68</f>
        <v>232.6244455328995</v>
      </c>
      <c r="O110" s="177">
        <f ca="1">O105+2*O34+2*'Flow and System'!L68</f>
        <v>231.22233580853793</v>
      </c>
      <c r="P110" s="427"/>
    </row>
    <row r="111" spans="1:20" x14ac:dyDescent="0.2">
      <c r="A111" s="48" t="s">
        <v>242</v>
      </c>
      <c r="C111" s="4"/>
      <c r="F111" s="177">
        <f ca="1">F106+F107+F109-5</f>
        <v>250.05022920857613</v>
      </c>
      <c r="G111" s="177">
        <f t="shared" ref="G111:O111" ca="1" si="80">G106+G107+G109-5</f>
        <v>249.76195914669859</v>
      </c>
      <c r="H111" s="177">
        <f t="shared" ca="1" si="80"/>
        <v>250.12523771665971</v>
      </c>
      <c r="I111" s="177">
        <f t="shared" ca="1" si="80"/>
        <v>245.52068633479084</v>
      </c>
      <c r="J111" s="177">
        <f t="shared" ca="1" si="80"/>
        <v>248.32929699397704</v>
      </c>
      <c r="K111" s="177">
        <f t="shared" ca="1" si="80"/>
        <v>238.19405392599003</v>
      </c>
      <c r="L111" s="177">
        <f t="shared" ca="1" si="80"/>
        <v>236.24845086186886</v>
      </c>
      <c r="M111" s="177">
        <f t="shared" ca="1" si="80"/>
        <v>250.25438351665841</v>
      </c>
      <c r="N111" s="177">
        <f t="shared" ca="1" si="80"/>
        <v>248.6244455328995</v>
      </c>
      <c r="O111" s="177">
        <f t="shared" ca="1" si="80"/>
        <v>247.22233580853796</v>
      </c>
      <c r="P111" s="427"/>
    </row>
    <row r="112" spans="1:20" x14ac:dyDescent="0.2">
      <c r="A112" s="154" t="s">
        <v>804</v>
      </c>
      <c r="C112" s="4"/>
      <c r="F112" s="430">
        <f ca="1">(F104+1)*'Flow and System'!C35/1000+F104*('Flow and System'!C36/1000+'Flow and System'!C44*2/1000)+2*F104*('Iterative I-V'!C133/1000+'Iterative I-V'!C38*10+'Iterative I-V'!C132/1000)+2*'Flow and System'!C71</f>
        <v>10.898949950569929</v>
      </c>
      <c r="G112" s="430">
        <f ca="1">(G104+1)*'Flow and System'!D35/1000+G104*('Flow and System'!D36/1000+'Flow and System'!D44*2/1000)+2*G104*('Iterative I-V'!D133/1000+'Iterative I-V'!D38*10+'Iterative I-V'!D132/1000)+2*'Flow and System'!D71</f>
        <v>8.8908854355202802</v>
      </c>
      <c r="H112" s="430">
        <f ca="1">(H104+1)*'Flow and System'!E35/1000+H104*('Flow and System'!E36/1000+'Flow and System'!E44*2/1000)+2*H104*('Iterative I-V'!E133/1000+'Iterative I-V'!E38*10+'Iterative I-V'!E132/1000)+2*'Flow and System'!E71</f>
        <v>7.7092920103272045</v>
      </c>
      <c r="I112" s="430">
        <f ca="1">(I104+1)*'Flow and System'!F35/1000+I104*('Flow and System'!F36/1000+'Flow and System'!F44*2/1000)+2*I104*('Iterative I-V'!F133/1000+'Iterative I-V'!F38*10+'Iterative I-V'!F132/1000)+2*'Flow and System'!F71</f>
        <v>7.3201413051282627</v>
      </c>
      <c r="J112" s="430">
        <f ca="1">(J104+1)*'Flow and System'!G35/1000+J104*('Flow and System'!G36/1000+'Flow and System'!G44*2/1000)+2*J104*('Iterative I-V'!G133/1000+'Iterative I-V'!G38*10+'Iterative I-V'!G132/1000)+2*'Flow and System'!G71</f>
        <v>6.7986977893895286</v>
      </c>
      <c r="K112" s="430">
        <f ca="1">(K104+1)*'Flow and System'!H35/1000+K104*('Flow and System'!H36/1000+'Flow and System'!H44*2/1000)+2*K104*('Iterative I-V'!H133/1000+'Iterative I-V'!H38*10+'Iterative I-V'!H132/1000)+2*'Flow and System'!H71</f>
        <v>7.196530864358345</v>
      </c>
      <c r="L112" s="430">
        <f ca="1">(L104+1)*'Flow and System'!I35/1000+L104*('Flow and System'!I36/1000+'Flow and System'!I44*2/1000)+2*L104*('Iterative I-V'!I133/1000+'Iterative I-V'!I38*10+'Iterative I-V'!I132/1000)+2*'Flow and System'!I71</f>
        <v>7.1919894241691926</v>
      </c>
      <c r="M112" s="430">
        <f ca="1">(M104+1)*'Flow and System'!J35/1000+M104*('Flow and System'!J36/1000+'Flow and System'!J44*2/1000)+2*M104*('Iterative I-V'!J133/1000+'Iterative I-V'!J38*10+'Iterative I-V'!J132/1000)+2*'Flow and System'!J71</f>
        <v>6.2081049251839611</v>
      </c>
      <c r="N112" s="430">
        <f ca="1">(N104+1)*'Flow and System'!K35/1000+N104*('Flow and System'!K36/1000+'Flow and System'!K44*2/1000)+2*N104*('Iterative I-V'!K133/1000+'Iterative I-V'!K38*10+'Iterative I-V'!K132/1000)+2*'Flow and System'!K71</f>
        <v>6.2052547593713276</v>
      </c>
      <c r="O112" s="430">
        <f ca="1">(O104+1)*'Flow and System'!L35/1000+O104*('Flow and System'!L36/1000+'Flow and System'!L44*2/1000)+2*O104*('Iterative I-V'!L133/1000+'Iterative I-V'!L38*10+'Iterative I-V'!L132/1000)+2*'Flow and System'!L71</f>
        <v>6.2027780440567302</v>
      </c>
      <c r="P112" s="427"/>
      <c r="Q112" s="482"/>
    </row>
    <row r="113" spans="1:20" ht="14.25" x14ac:dyDescent="0.2">
      <c r="A113" s="48" t="s">
        <v>247</v>
      </c>
      <c r="C113" s="4"/>
      <c r="F113" s="177">
        <f ca="1">F110*F111*F112/1000</f>
        <v>638.39862027783488</v>
      </c>
      <c r="G113" s="177">
        <f t="shared" ref="G113:O113" ca="1" si="81">G110*G111*G112/1000</f>
        <v>519.09296709161219</v>
      </c>
      <c r="H113" s="177">
        <f t="shared" ca="1" si="81"/>
        <v>451.46100267858475</v>
      </c>
      <c r="I113" s="177">
        <f t="shared" ca="1" si="81"/>
        <v>412.50516235586343</v>
      </c>
      <c r="J113" s="177">
        <f t="shared" ca="1" si="81"/>
        <v>392.24523279498044</v>
      </c>
      <c r="K113" s="177">
        <f t="shared" ca="1" si="81"/>
        <v>380.87857267962823</v>
      </c>
      <c r="L113" s="177">
        <f ca="1">L110*L111*L112/1000</f>
        <v>374.22334117154037</v>
      </c>
      <c r="M113" s="177">
        <f t="shared" ca="1" si="81"/>
        <v>363.93889180409928</v>
      </c>
      <c r="N113" s="177">
        <f t="shared" ca="1" si="81"/>
        <v>358.8878823991713</v>
      </c>
      <c r="O113" s="177">
        <f t="shared" ca="1" si="81"/>
        <v>354.57142312601343</v>
      </c>
      <c r="P113" s="427"/>
    </row>
    <row r="114" spans="1:20" ht="15.75" x14ac:dyDescent="0.25">
      <c r="A114" s="18" t="s">
        <v>313</v>
      </c>
      <c r="B114" s="5"/>
      <c r="C114" s="139"/>
      <c r="D114" s="5"/>
      <c r="F114" s="139"/>
      <c r="G114" s="139"/>
      <c r="H114" s="139"/>
      <c r="I114" s="139"/>
      <c r="J114" s="139"/>
      <c r="K114" s="139"/>
      <c r="L114" s="139"/>
      <c r="M114" s="139"/>
      <c r="N114" s="139"/>
      <c r="O114" s="139"/>
    </row>
    <row r="115" spans="1:20" s="252" customFormat="1" x14ac:dyDescent="0.2">
      <c r="A115" s="252" t="s">
        <v>478</v>
      </c>
      <c r="C115" s="259"/>
      <c r="F115" s="255">
        <f t="shared" ref="F115:L115" ca="1" si="82">F76</f>
        <v>406.1116524637535</v>
      </c>
      <c r="G115" s="255">
        <f t="shared" ca="1" si="82"/>
        <v>404.98520161124429</v>
      </c>
      <c r="H115" s="255">
        <f t="shared" ca="1" si="82"/>
        <v>403.36764104836413</v>
      </c>
      <c r="I115" s="255">
        <f t="shared" ca="1" si="82"/>
        <v>401.17599811854842</v>
      </c>
      <c r="J115" s="255">
        <f t="shared" ca="1" si="82"/>
        <v>403.74325017228574</v>
      </c>
      <c r="K115" s="255">
        <f t="shared" ca="1" si="82"/>
        <v>400.52990970177791</v>
      </c>
      <c r="L115" s="255">
        <f t="shared" ca="1" si="82"/>
        <v>393.14943773953496</v>
      </c>
      <c r="M115" s="255">
        <f t="shared" ref="M115:O115" ca="1" si="83">M76</f>
        <v>383.83801176468489</v>
      </c>
      <c r="N115" s="255">
        <f t="shared" ca="1" si="83"/>
        <v>378.22878094991665</v>
      </c>
      <c r="O115" s="255">
        <f t="shared" ca="1" si="83"/>
        <v>373.43662734647637</v>
      </c>
      <c r="P115" s="106"/>
      <c r="Q115" s="106"/>
      <c r="R115" s="106"/>
      <c r="S115" s="106"/>
      <c r="T115" s="106"/>
    </row>
    <row r="116" spans="1:20" x14ac:dyDescent="0.2">
      <c r="A116" s="252" t="s">
        <v>522</v>
      </c>
      <c r="F116" s="103">
        <f t="shared" ref="F116:L116" ca="1" si="84">IF(F59=1,0,F59*F33*F35/2*F108*1.5/1000*8.92)</f>
        <v>8.0952824494522098</v>
      </c>
      <c r="G116" s="103">
        <f t="shared" ca="1" si="84"/>
        <v>6.5952032777820415</v>
      </c>
      <c r="H116" s="103">
        <f t="shared" ca="1" si="84"/>
        <v>5.7280727318093829</v>
      </c>
      <c r="I116" s="103">
        <f t="shared" ca="1" si="84"/>
        <v>5.3261838277412679</v>
      </c>
      <c r="J116" s="103">
        <f t="shared" ca="1" si="84"/>
        <v>5.0106504582535933</v>
      </c>
      <c r="K116" s="103">
        <f t="shared" ca="1" si="84"/>
        <v>5.0598744485687801</v>
      </c>
      <c r="L116" s="103">
        <f t="shared" ca="1" si="84"/>
        <v>5.0098755949816951</v>
      </c>
      <c r="M116" s="103">
        <f t="shared" ref="M116:O116" ca="1" si="85">IF(M59=1,0,M59*M33*M35/2*M108*1.5/1000*8.92)</f>
        <v>4.6153591927294304</v>
      </c>
      <c r="N116" s="103">
        <f t="shared" ca="1" si="85"/>
        <v>4.5794083293135115</v>
      </c>
      <c r="O116" s="103">
        <f t="shared" ca="1" si="85"/>
        <v>4.5484891584655029</v>
      </c>
    </row>
    <row r="117" spans="1:20" x14ac:dyDescent="0.2">
      <c r="A117" s="7" t="s">
        <v>308</v>
      </c>
      <c r="C117" s="4"/>
      <c r="F117" s="25">
        <f t="shared" ref="F117:L117" si="86">8*F58/F59</f>
        <v>120</v>
      </c>
      <c r="G117" s="25">
        <f t="shared" si="86"/>
        <v>120</v>
      </c>
      <c r="H117" s="25">
        <f t="shared" si="86"/>
        <v>120</v>
      </c>
      <c r="I117" s="25">
        <f t="shared" si="86"/>
        <v>120</v>
      </c>
      <c r="J117" s="25">
        <f t="shared" si="86"/>
        <v>120</v>
      </c>
      <c r="K117" s="25">
        <f t="shared" si="86"/>
        <v>120</v>
      </c>
      <c r="L117" s="25">
        <f t="shared" si="86"/>
        <v>120</v>
      </c>
      <c r="M117" s="25">
        <f t="shared" ref="M117:O117" si="87">8*M58/M59</f>
        <v>120</v>
      </c>
      <c r="N117" s="25">
        <f t="shared" si="87"/>
        <v>120</v>
      </c>
      <c r="O117" s="25">
        <f t="shared" si="87"/>
        <v>120</v>
      </c>
    </row>
    <row r="118" spans="1:20" x14ac:dyDescent="0.2">
      <c r="A118" s="7" t="s">
        <v>319</v>
      </c>
      <c r="C118" s="4"/>
      <c r="F118" s="195">
        <f t="shared" ref="F118:L118" si="88">F50*0.092*4.19</f>
        <v>1.9274000000000003E-2</v>
      </c>
      <c r="G118" s="195">
        <f t="shared" si="88"/>
        <v>1.9274000000000003E-2</v>
      </c>
      <c r="H118" s="195">
        <f t="shared" si="88"/>
        <v>1.9274000000000003E-2</v>
      </c>
      <c r="I118" s="195">
        <f t="shared" si="88"/>
        <v>1.9274000000000003E-2</v>
      </c>
      <c r="J118" s="195">
        <f t="shared" si="88"/>
        <v>1.9274000000000003E-2</v>
      </c>
      <c r="K118" s="195">
        <f t="shared" si="88"/>
        <v>1.9274000000000003E-2</v>
      </c>
      <c r="L118" s="195">
        <f t="shared" si="88"/>
        <v>1.9274000000000003E-2</v>
      </c>
      <c r="M118" s="195">
        <f t="shared" ref="M118:O118" si="89">M50*0.092*4.19</f>
        <v>1.9274000000000003E-2</v>
      </c>
      <c r="N118" s="195">
        <f t="shared" si="89"/>
        <v>1.9274000000000003E-2</v>
      </c>
      <c r="O118" s="195">
        <f t="shared" si="89"/>
        <v>1.9274000000000003E-2</v>
      </c>
    </row>
    <row r="119" spans="1:20" x14ac:dyDescent="0.2">
      <c r="A119" s="7" t="s">
        <v>388</v>
      </c>
      <c r="C119" s="4"/>
      <c r="F119" s="198">
        <f t="shared" ref="F119:K119" si="90">(F118*8.92/600000)^0.5</f>
        <v>5.3529443611281206E-4</v>
      </c>
      <c r="G119" s="198">
        <f t="shared" si="90"/>
        <v>5.3529443611281206E-4</v>
      </c>
      <c r="H119" s="198">
        <f t="shared" si="90"/>
        <v>5.3529443611281206E-4</v>
      </c>
      <c r="I119" s="198">
        <f t="shared" si="90"/>
        <v>5.3529443611281206E-4</v>
      </c>
      <c r="J119" s="198">
        <f t="shared" si="90"/>
        <v>5.3529443611281206E-4</v>
      </c>
      <c r="K119" s="198">
        <f t="shared" si="90"/>
        <v>5.3529443611281206E-4</v>
      </c>
      <c r="L119" s="198">
        <f t="shared" ref="L119:M119" si="91">(L118*8.92/600000)^0.5</f>
        <v>5.3529443611281206E-4</v>
      </c>
      <c r="M119" s="198">
        <f t="shared" si="91"/>
        <v>5.3529443611281206E-4</v>
      </c>
      <c r="N119" s="198">
        <f t="shared" ref="N119:O119" si="92">(N118*8.92/600000)^0.5</f>
        <v>5.3529443611281206E-4</v>
      </c>
      <c r="O119" s="198">
        <f t="shared" si="92"/>
        <v>5.3529443611281206E-4</v>
      </c>
    </row>
    <row r="120" spans="1:20" x14ac:dyDescent="0.2">
      <c r="A120" s="7" t="s">
        <v>314</v>
      </c>
      <c r="C120" s="4"/>
      <c r="F120" s="25">
        <f t="shared" ref="F120:L120" ca="1" si="93">IF(F62=1,0,2)*(2/F118*F141*F119)*1.2</f>
        <v>41.15733988388029</v>
      </c>
      <c r="G120" s="25">
        <f t="shared" ca="1" si="93"/>
        <v>41.15733988388029</v>
      </c>
      <c r="H120" s="25">
        <f t="shared" ca="1" si="93"/>
        <v>41.15733988388029</v>
      </c>
      <c r="I120" s="25">
        <f t="shared" ca="1" si="93"/>
        <v>41.15733988388029</v>
      </c>
      <c r="J120" s="25">
        <f t="shared" ca="1" si="93"/>
        <v>41.15733988388029</v>
      </c>
      <c r="K120" s="25">
        <f t="shared" ca="1" si="93"/>
        <v>40.454993758945271</v>
      </c>
      <c r="L120" s="25">
        <f t="shared" ca="1" si="93"/>
        <v>38.91697754524931</v>
      </c>
      <c r="M120" s="25">
        <f t="shared" ref="M120:O120" ca="1" si="94">IF(M62=1,0,2)*(2/M118*M141*M119)*1.2</f>
        <v>38.264218564746258</v>
      </c>
      <c r="N120" s="25">
        <f t="shared" ca="1" si="94"/>
        <v>37.226897169735359</v>
      </c>
      <c r="O120" s="25">
        <f t="shared" ca="1" si="94"/>
        <v>36.341216420748367</v>
      </c>
    </row>
    <row r="121" spans="1:20" x14ac:dyDescent="0.2">
      <c r="A121" s="7" t="s">
        <v>317</v>
      </c>
      <c r="C121" s="4"/>
      <c r="F121" s="196">
        <f t="shared" ref="F121:L121" ca="1" si="95">IF(F62=1,0,2)*(2/F141*F119)</f>
        <v>6.9353364625928043E-6</v>
      </c>
      <c r="G121" s="196">
        <f t="shared" ca="1" si="95"/>
        <v>6.9353364625928043E-6</v>
      </c>
      <c r="H121" s="196">
        <f t="shared" ca="1" si="95"/>
        <v>6.9353364625928043E-6</v>
      </c>
      <c r="I121" s="196">
        <f t="shared" ca="1" si="95"/>
        <v>6.9353364625928043E-6</v>
      </c>
      <c r="J121" s="196">
        <f t="shared" ca="1" si="95"/>
        <v>6.9353364625928043E-6</v>
      </c>
      <c r="K121" s="196">
        <f t="shared" ca="1" si="95"/>
        <v>7.0557420352310538E-6</v>
      </c>
      <c r="L121" s="196">
        <f t="shared" ca="1" si="95"/>
        <v>7.3345880899439059E-6</v>
      </c>
      <c r="M121" s="196">
        <f t="shared" ref="M121:O121" ca="1" si="96">IF(M62=1,0,2)*(2/M141*M119)</f>
        <v>7.4597106828932542E-6</v>
      </c>
      <c r="N121" s="196">
        <f t="shared" ca="1" si="96"/>
        <v>7.6675742998010705E-6</v>
      </c>
      <c r="O121" s="196">
        <f t="shared" ca="1" si="96"/>
        <v>7.8544426442762994E-6</v>
      </c>
    </row>
    <row r="122" spans="1:20" x14ac:dyDescent="0.2">
      <c r="A122" s="252" t="s">
        <v>531</v>
      </c>
      <c r="C122" s="4"/>
      <c r="F122" s="196">
        <f t="shared" ref="F122:L122" ca="1" si="97">F85*F58/F59^2+F121</f>
        <v>6.1486092326174327E-4</v>
      </c>
      <c r="G122" s="196">
        <f t="shared" ca="1" si="97"/>
        <v>6.1486092326174327E-4</v>
      </c>
      <c r="H122" s="196">
        <f t="shared" ca="1" si="97"/>
        <v>6.1486092326174327E-4</v>
      </c>
      <c r="I122" s="196">
        <f t="shared" ca="1" si="97"/>
        <v>6.1486092326174327E-4</v>
      </c>
      <c r="J122" s="196">
        <f t="shared" ca="1" si="97"/>
        <v>6.1486092326174327E-4</v>
      </c>
      <c r="K122" s="196">
        <f t="shared" ca="1" si="97"/>
        <v>6.2553562981142511E-4</v>
      </c>
      <c r="L122" s="196">
        <f t="shared" ca="1" si="97"/>
        <v>6.502570753495518E-4</v>
      </c>
      <c r="M122" s="196">
        <f t="shared" ref="M122:O122" ca="1" si="98">M85*M58/M59^2+M121</f>
        <v>6.6134997523025504E-4</v>
      </c>
      <c r="N122" s="196">
        <f t="shared" ca="1" si="98"/>
        <v>6.7977838401673868E-4</v>
      </c>
      <c r="O122" s="196">
        <f t="shared" ca="1" si="98"/>
        <v>6.9634543068162081E-4</v>
      </c>
      <c r="Q122" s="267"/>
    </row>
    <row r="123" spans="1:20" x14ac:dyDescent="0.2">
      <c r="A123" s="7" t="s">
        <v>429</v>
      </c>
      <c r="C123" s="4"/>
      <c r="F123" s="196" t="str">
        <f t="shared" ref="F123:L123" si="99">IF(F55="EG-W","aluminum","polymer")</f>
        <v>aluminum</v>
      </c>
      <c r="G123" s="196" t="str">
        <f t="shared" si="99"/>
        <v>aluminum</v>
      </c>
      <c r="H123" s="196" t="str">
        <f t="shared" si="99"/>
        <v>aluminum</v>
      </c>
      <c r="I123" s="196" t="str">
        <f t="shared" si="99"/>
        <v>aluminum</v>
      </c>
      <c r="J123" s="196" t="str">
        <f t="shared" si="99"/>
        <v>aluminum</v>
      </c>
      <c r="K123" s="196" t="str">
        <f t="shared" si="99"/>
        <v>aluminum</v>
      </c>
      <c r="L123" s="196" t="str">
        <f t="shared" si="99"/>
        <v>aluminum</v>
      </c>
      <c r="M123" s="196" t="str">
        <f t="shared" ref="M123:O123" si="100">IF(M55="EG-W","aluminum","polymer")</f>
        <v>aluminum</v>
      </c>
      <c r="N123" s="196" t="str">
        <f t="shared" si="100"/>
        <v>aluminum</v>
      </c>
      <c r="O123" s="196" t="str">
        <f t="shared" si="100"/>
        <v>aluminum</v>
      </c>
    </row>
    <row r="124" spans="1:20" x14ac:dyDescent="0.2">
      <c r="A124" s="7" t="s">
        <v>447</v>
      </c>
      <c r="C124" s="4"/>
      <c r="F124" s="235">
        <v>0.5</v>
      </c>
      <c r="G124" s="235">
        <v>0.5</v>
      </c>
      <c r="H124" s="235">
        <v>0.5</v>
      </c>
      <c r="I124" s="235">
        <v>0.5</v>
      </c>
      <c r="J124" s="235">
        <v>0.5</v>
      </c>
      <c r="K124" s="235">
        <v>0.5</v>
      </c>
      <c r="L124" s="235">
        <v>0.5</v>
      </c>
      <c r="M124" s="235">
        <v>0.5</v>
      </c>
      <c r="N124" s="235">
        <v>0.5</v>
      </c>
      <c r="O124" s="235">
        <v>0.5</v>
      </c>
    </row>
    <row r="125" spans="1:20" x14ac:dyDescent="0.2">
      <c r="A125" s="154" t="s">
        <v>840</v>
      </c>
      <c r="C125" s="4"/>
      <c r="F125" s="177">
        <f ca="1">F106</f>
        <v>222.05022920857613</v>
      </c>
      <c r="G125" s="177">
        <f t="shared" ref="G125:O125" ca="1" si="101">G106</f>
        <v>221.76195914669859</v>
      </c>
      <c r="H125" s="177">
        <f t="shared" ca="1" si="101"/>
        <v>222.12523771665971</v>
      </c>
      <c r="I125" s="177">
        <f t="shared" ca="1" si="101"/>
        <v>217.52068633479084</v>
      </c>
      <c r="J125" s="177">
        <f t="shared" ca="1" si="101"/>
        <v>220.32929699397704</v>
      </c>
      <c r="K125" s="177">
        <f t="shared" ca="1" si="101"/>
        <v>210.19405392599003</v>
      </c>
      <c r="L125" s="177">
        <f t="shared" ca="1" si="101"/>
        <v>208.24845086186886</v>
      </c>
      <c r="M125" s="177">
        <f t="shared" ca="1" si="101"/>
        <v>222.25438351665841</v>
      </c>
      <c r="N125" s="177">
        <f t="shared" ca="1" si="101"/>
        <v>220.6244455328995</v>
      </c>
      <c r="O125" s="177">
        <f t="shared" ca="1" si="101"/>
        <v>219.22233580853796</v>
      </c>
      <c r="P125" s="427"/>
    </row>
    <row r="126" spans="1:20" x14ac:dyDescent="0.2">
      <c r="A126" s="154" t="s">
        <v>838</v>
      </c>
      <c r="C126" s="4"/>
      <c r="F126" s="447">
        <v>1</v>
      </c>
      <c r="G126" s="447">
        <v>1</v>
      </c>
      <c r="H126" s="447">
        <v>1</v>
      </c>
      <c r="I126" s="447">
        <v>1</v>
      </c>
      <c r="J126" s="447">
        <v>1</v>
      </c>
      <c r="K126" s="447">
        <v>1</v>
      </c>
      <c r="L126" s="447">
        <v>1</v>
      </c>
      <c r="M126" s="447">
        <v>1</v>
      </c>
      <c r="N126" s="447">
        <v>1</v>
      </c>
      <c r="O126" s="447">
        <v>1</v>
      </c>
      <c r="P126" s="427"/>
    </row>
    <row r="127" spans="1:20" x14ac:dyDescent="0.2">
      <c r="A127" s="252" t="s">
        <v>839</v>
      </c>
      <c r="C127" s="4"/>
      <c r="F127" s="25">
        <f ca="1">(F58/2)*F125*(F110+2*F126)*F126/1000*2.7*0.5</f>
        <v>1062.3032053134452</v>
      </c>
      <c r="G127" s="25">
        <f t="shared" ref="G127:O127" ca="1" si="102">(G58/2)*G125*(G110+2*G126)*G126/1000*2.7*0.5</f>
        <v>1058.7314375408748</v>
      </c>
      <c r="H127" s="25">
        <f t="shared" ca="1" si="102"/>
        <v>1062.0998348139956</v>
      </c>
      <c r="I127" s="25">
        <f t="shared" ca="1" si="102"/>
        <v>1019.800906492972</v>
      </c>
      <c r="J127" s="25">
        <f t="shared" ca="1" si="102"/>
        <v>1045.4995877534604</v>
      </c>
      <c r="K127" s="25">
        <f t="shared" ca="1" si="102"/>
        <v>954.26620548131893</v>
      </c>
      <c r="L127" s="25">
        <f t="shared" ca="1" si="102"/>
        <v>937.22863586829612</v>
      </c>
      <c r="M127" s="25">
        <f t="shared" ca="1" si="102"/>
        <v>1063.298590322463</v>
      </c>
      <c r="N127" s="25">
        <f t="shared" ca="1" si="102"/>
        <v>1048.2187361342385</v>
      </c>
      <c r="O127" s="25">
        <f t="shared" ca="1" si="102"/>
        <v>1035.332790678086</v>
      </c>
      <c r="P127" s="427"/>
    </row>
    <row r="128" spans="1:20" x14ac:dyDescent="0.2">
      <c r="A128" s="7" t="s">
        <v>176</v>
      </c>
      <c r="C128" s="4"/>
      <c r="F128" s="25">
        <f t="shared" ref="F128:L128" ca="1" si="103">IF(F55="EG-W",2.7,1.1)*F124*(F129*F130+F129*F131+IF(F55="CA",0,F130*F131))*2/1000</f>
        <v>659.08794915009537</v>
      </c>
      <c r="G128" s="25">
        <f t="shared" ca="1" si="103"/>
        <v>572.68038033230039</v>
      </c>
      <c r="H128" s="25">
        <f t="shared" ca="1" si="103"/>
        <v>523.5838574772647</v>
      </c>
      <c r="I128" s="25">
        <f t="shared" ca="1" si="103"/>
        <v>494.76005498098579</v>
      </c>
      <c r="J128" s="25">
        <f t="shared" ca="1" si="103"/>
        <v>480.26793045991917</v>
      </c>
      <c r="K128" s="25">
        <f t="shared" ca="1" si="103"/>
        <v>470.42075713206759</v>
      </c>
      <c r="L128" s="25">
        <f t="shared" ca="1" si="103"/>
        <v>465.19219241660261</v>
      </c>
      <c r="M128" s="25">
        <f t="shared" ref="M128:O128" ca="1" si="104">IF(M55="EG-W",2.7,1.1)*M124*(M129*M130+M129*M131+IF(M55="CA",0,M130*M131))*2/1000</f>
        <v>460.17080038431874</v>
      </c>
      <c r="N128" s="25">
        <f t="shared" ca="1" si="104"/>
        <v>455.98510036313382</v>
      </c>
      <c r="O128" s="25">
        <f t="shared" ca="1" si="104"/>
        <v>452.39614218951044</v>
      </c>
    </row>
    <row r="129" spans="1:16" x14ac:dyDescent="0.2">
      <c r="A129" s="7" t="s">
        <v>260</v>
      </c>
      <c r="C129" s="4"/>
      <c r="F129" s="25">
        <f ca="1">F111+2</f>
        <v>252.05022920857613</v>
      </c>
      <c r="G129" s="25">
        <f t="shared" ref="G129:L129" ca="1" si="105">G111+2</f>
        <v>251.76195914669859</v>
      </c>
      <c r="H129" s="25">
        <f t="shared" ca="1" si="105"/>
        <v>252.12523771665971</v>
      </c>
      <c r="I129" s="25">
        <f t="shared" ca="1" si="105"/>
        <v>247.52068633479084</v>
      </c>
      <c r="J129" s="25">
        <f t="shared" ca="1" si="105"/>
        <v>250.32929699397704</v>
      </c>
      <c r="K129" s="25">
        <f t="shared" ca="1" si="105"/>
        <v>240.19405392599003</v>
      </c>
      <c r="L129" s="25">
        <f t="shared" ca="1" si="105"/>
        <v>238.24845086186886</v>
      </c>
      <c r="M129" s="25">
        <f t="shared" ref="M129:O129" ca="1" si="106">M111+2</f>
        <v>252.25438351665841</v>
      </c>
      <c r="N129" s="25">
        <f t="shared" ca="1" si="106"/>
        <v>250.6244455328995</v>
      </c>
      <c r="O129" s="25">
        <f t="shared" ca="1" si="106"/>
        <v>249.22233580853796</v>
      </c>
    </row>
    <row r="130" spans="1:16" x14ac:dyDescent="0.2">
      <c r="A130" s="7" t="s">
        <v>261</v>
      </c>
      <c r="C130" s="4"/>
      <c r="F130" s="25">
        <f ca="1">(F33+F126/2)*(F58+1)+1</f>
        <v>354.36744846871289</v>
      </c>
      <c r="G130" s="25">
        <f t="shared" ref="G130:O130" ca="1" si="107">(G33+G126/2)*(G58+1)+1</f>
        <v>292.11744850116099</v>
      </c>
      <c r="H130" s="25">
        <f t="shared" ca="1" si="107"/>
        <v>255.4880523201802</v>
      </c>
      <c r="I130" s="25">
        <f t="shared" ca="1" si="107"/>
        <v>243.42438045905743</v>
      </c>
      <c r="J130" s="25">
        <f t="shared" ca="1" si="107"/>
        <v>227.259631471067</v>
      </c>
      <c r="K130" s="25">
        <f t="shared" ca="1" si="107"/>
        <v>239.59245679505048</v>
      </c>
      <c r="L130" s="25">
        <f t="shared" ca="1" si="107"/>
        <v>239.45167214919104</v>
      </c>
      <c r="M130" s="25">
        <f t="shared" ca="1" si="107"/>
        <v>208.95125268070279</v>
      </c>
      <c r="N130" s="25">
        <f t="shared" ca="1" si="107"/>
        <v>208.86289754051117</v>
      </c>
      <c r="O130" s="25">
        <f t="shared" ca="1" si="107"/>
        <v>208.78611936575862</v>
      </c>
      <c r="P130" s="427"/>
    </row>
    <row r="131" spans="1:16" x14ac:dyDescent="0.2">
      <c r="A131" s="7" t="s">
        <v>262</v>
      </c>
      <c r="C131" s="4"/>
      <c r="F131" s="25">
        <f ca="1">F110+2*F124+'Flow and System'!C73</f>
        <v>255.25022920857612</v>
      </c>
      <c r="G131" s="25">
        <f ca="1">G110+2*G124+'Flow and System'!D73</f>
        <v>254.76195914669862</v>
      </c>
      <c r="H131" s="25">
        <f ca="1">H110+2*H124+'Flow and System'!E73</f>
        <v>255.12523771665971</v>
      </c>
      <c r="I131" s="25">
        <f ca="1">I110+2*I124+'Flow and System'!F73</f>
        <v>250.52068633479081</v>
      </c>
      <c r="J131" s="25">
        <f ca="1">J110+2*J124+'Flow and System'!G73</f>
        <v>253.32929699397704</v>
      </c>
      <c r="K131" s="25">
        <f ca="1">K110+2*K124+'Flow and System'!H73</f>
        <v>243.19405392599003</v>
      </c>
      <c r="L131" s="25">
        <f ca="1">L110+2*L124+'Flow and System'!I73</f>
        <v>241.24845086186886</v>
      </c>
      <c r="M131" s="25">
        <f ca="1">M110+2*M124+'Flow and System'!J73</f>
        <v>255.25438351665844</v>
      </c>
      <c r="N131" s="25">
        <f ca="1">N110+2*N124+'Flow and System'!K73</f>
        <v>253.6244455328995</v>
      </c>
      <c r="O131" s="25">
        <f ca="1">O110+2*O124+'Flow and System'!L73</f>
        <v>252.22233580853793</v>
      </c>
      <c r="P131" s="427"/>
    </row>
    <row r="132" spans="1:16" x14ac:dyDescent="0.2">
      <c r="A132" s="7" t="s">
        <v>309</v>
      </c>
      <c r="C132" s="4"/>
      <c r="F132" s="181">
        <f ca="1">F129*F130*F131/1000000</f>
        <v>22.798541207397491</v>
      </c>
      <c r="G132" s="181">
        <f t="shared" ref="G132:L132" ca="1" si="108">G129*G130*G131/1000000</f>
        <v>18.736229098506751</v>
      </c>
      <c r="H132" s="181">
        <f t="shared" ca="1" si="108"/>
        <v>16.43388859662883</v>
      </c>
      <c r="I132" s="181">
        <f t="shared" ca="1" si="108"/>
        <v>15.094515120151982</v>
      </c>
      <c r="J132" s="181">
        <f t="shared" ca="1" si="108"/>
        <v>14.411838798274704</v>
      </c>
      <c r="K132" s="181">
        <f t="shared" ca="1" si="108"/>
        <v>13.995497635475207</v>
      </c>
      <c r="L132" s="181">
        <f t="shared" ca="1" si="108"/>
        <v>13.762980447665548</v>
      </c>
      <c r="M132" s="181">
        <f t="shared" ref="M132:O132" ca="1" si="109">M129*M130*M131/1000000</f>
        <v>13.454169972215766</v>
      </c>
      <c r="N132" s="181">
        <f t="shared" ca="1" si="109"/>
        <v>13.276262734000269</v>
      </c>
      <c r="O132" s="181">
        <f t="shared" ca="1" si="109"/>
        <v>13.124178474892078</v>
      </c>
      <c r="P132" s="267"/>
    </row>
    <row r="133" spans="1:16" x14ac:dyDescent="0.2">
      <c r="A133" s="252" t="s">
        <v>523</v>
      </c>
      <c r="C133" s="4"/>
      <c r="F133" s="181">
        <f t="shared" ref="F133:L133" ca="1" si="110">((F116*F58/F59+1)+F58*F31+F117+F120+F127+F128)/1000</f>
        <v>37.890113792778848</v>
      </c>
      <c r="G133" s="181">
        <f t="shared" ca="1" si="110"/>
        <v>26.720946750853273</v>
      </c>
      <c r="H133" s="181">
        <f t="shared" ca="1" si="110"/>
        <v>20.639731725221026</v>
      </c>
      <c r="I133" s="181">
        <f t="shared" ca="1" si="110"/>
        <v>17.179991372060371</v>
      </c>
      <c r="J133" s="181">
        <f t="shared" ca="1" si="110"/>
        <v>15.413121757188266</v>
      </c>
      <c r="K133" s="181">
        <f t="shared" ca="1" si="110"/>
        <v>14.318205876004866</v>
      </c>
      <c r="L133" s="181">
        <f t="shared" ca="1" si="110"/>
        <v>14.065903403974751</v>
      </c>
      <c r="M133" s="181">
        <f t="shared" ref="M133:O133" ca="1" si="111">((M116*M58/M59+1)+M58*M31+M117+M120+M127+M128)/1000</f>
        <v>14.071002089160073</v>
      </c>
      <c r="N133" s="181">
        <f t="shared" ca="1" si="111"/>
        <v>13.874641957495246</v>
      </c>
      <c r="O133" s="181">
        <f t="shared" ca="1" si="111"/>
        <v>13.706834756402964</v>
      </c>
    </row>
    <row r="134" spans="1:16" ht="15.75" x14ac:dyDescent="0.25">
      <c r="A134" s="18" t="s">
        <v>466</v>
      </c>
      <c r="C134" s="4"/>
      <c r="F134" s="6"/>
      <c r="G134" s="6"/>
      <c r="H134" s="6"/>
      <c r="I134" s="6"/>
      <c r="J134" s="6"/>
      <c r="K134" s="6"/>
      <c r="L134" s="6"/>
      <c r="M134" s="6"/>
      <c r="N134" s="6"/>
      <c r="O134" s="6"/>
    </row>
    <row r="135" spans="1:16" x14ac:dyDescent="0.2">
      <c r="A135" s="252" t="s">
        <v>520</v>
      </c>
      <c r="C135" s="4"/>
      <c r="E135" s="448"/>
      <c r="F135" s="6">
        <f t="shared" ref="F135:L135" ca="1" si="112">F115*F63</f>
        <v>406.1116524637535</v>
      </c>
      <c r="G135" s="6">
        <f t="shared" ca="1" si="112"/>
        <v>404.98520161124429</v>
      </c>
      <c r="H135" s="6">
        <f t="shared" ca="1" si="112"/>
        <v>403.36764104836413</v>
      </c>
      <c r="I135" s="6">
        <f t="shared" ca="1" si="112"/>
        <v>401.17599811854842</v>
      </c>
      <c r="J135" s="6">
        <f t="shared" ca="1" si="112"/>
        <v>403.74325017228574</v>
      </c>
      <c r="K135" s="6">
        <f t="shared" ca="1" si="112"/>
        <v>400.52990970177791</v>
      </c>
      <c r="L135" s="6">
        <f t="shared" ca="1" si="112"/>
        <v>393.14943773953496</v>
      </c>
      <c r="M135" s="6">
        <f t="shared" ref="M135:O135" ca="1" si="113">M115*M63</f>
        <v>383.83801176468489</v>
      </c>
      <c r="N135" s="6">
        <f t="shared" ca="1" si="113"/>
        <v>378.22878094991665</v>
      </c>
      <c r="O135" s="6">
        <f t="shared" ca="1" si="113"/>
        <v>373.43662734647637</v>
      </c>
    </row>
    <row r="136" spans="1:16" x14ac:dyDescent="0.2">
      <c r="A136" s="252" t="s">
        <v>467</v>
      </c>
      <c r="F136" s="20">
        <f ca="1">F76*F63*(F139-F66/F59*F77/5*F89/F102/F63)/1000</f>
        <v>127.91193490666001</v>
      </c>
      <c r="G136" s="464">
        <f t="shared" ref="G136:O136" ca="1" si="114">G76*G63*(G139-G66/G59*G77/5*G89/G102/G63)/1000</f>
        <v>127.86692642466292</v>
      </c>
      <c r="H136" s="464">
        <f t="shared" ca="1" si="114"/>
        <v>127.79738655112705</v>
      </c>
      <c r="I136" s="464">
        <f t="shared" ca="1" si="114"/>
        <v>127.71154271596357</v>
      </c>
      <c r="J136" s="464">
        <f t="shared" ca="1" si="114"/>
        <v>127.57930718581005</v>
      </c>
      <c r="K136" s="464">
        <f t="shared" ca="1" si="114"/>
        <v>127.52691917277659</v>
      </c>
      <c r="L136" s="464">
        <f t="shared" ca="1" si="114"/>
        <v>127.54323212581201</v>
      </c>
      <c r="M136" s="464">
        <f t="shared" ca="1" si="114"/>
        <v>126.50617872614636</v>
      </c>
      <c r="N136" s="464">
        <f t="shared" ca="1" si="114"/>
        <v>126.51975981274269</v>
      </c>
      <c r="O136" s="464">
        <f t="shared" ca="1" si="114"/>
        <v>126.53121650181387</v>
      </c>
      <c r="P136" s="427"/>
    </row>
    <row r="137" spans="1:16" x14ac:dyDescent="0.2">
      <c r="A137" t="s">
        <v>356</v>
      </c>
      <c r="F137" s="20">
        <f ca="1">'Flow and System'!C11</f>
        <v>100.17673157304623</v>
      </c>
      <c r="G137" s="20">
        <f ca="1">'Flow and System'!D11</f>
        <v>100.20065033531274</v>
      </c>
      <c r="H137" s="20">
        <f ca="1">'Flow and System'!E11</f>
        <v>100.23499719250283</v>
      </c>
      <c r="I137" s="20">
        <f ca="1">'Flow and System'!F11</f>
        <v>100.28153396426171</v>
      </c>
      <c r="J137" s="20">
        <f ca="1">'Flow and System'!G11</f>
        <v>100.22702160677727</v>
      </c>
      <c r="K137" s="20">
        <f ca="1">'Flow and System'!H11</f>
        <v>100.2952528364309</v>
      </c>
      <c r="L137" s="20">
        <f ca="1">'Flow and System'!I11</f>
        <v>100.46734175259535</v>
      </c>
      <c r="M137" s="20">
        <f ca="1">'Flow and System'!J11</f>
        <v>99.761982468854342</v>
      </c>
      <c r="N137" s="20">
        <f ca="1">'Flow and System'!K11</f>
        <v>99.892818540118768</v>
      </c>
      <c r="O137" s="20">
        <f ca="1">'Flow and System'!L11</f>
        <v>99.998582429974761</v>
      </c>
    </row>
    <row r="138" spans="1:16" x14ac:dyDescent="0.2">
      <c r="A138" t="s">
        <v>385</v>
      </c>
      <c r="F138" s="6">
        <f t="shared" ref="F138:L138" si="115">F66/F59*F44/F63</f>
        <v>355.2</v>
      </c>
      <c r="G138" s="6">
        <f t="shared" si="115"/>
        <v>355.2</v>
      </c>
      <c r="H138" s="6">
        <f t="shared" si="115"/>
        <v>355.2</v>
      </c>
      <c r="I138" s="6">
        <f t="shared" si="115"/>
        <v>355.2</v>
      </c>
      <c r="J138" s="6">
        <f t="shared" si="115"/>
        <v>355.2</v>
      </c>
      <c r="K138" s="6">
        <f t="shared" si="115"/>
        <v>355.2</v>
      </c>
      <c r="L138" s="6">
        <f t="shared" si="115"/>
        <v>355.2</v>
      </c>
      <c r="M138" s="6">
        <f t="shared" ref="M138:O138" si="116">M66/M59*M44/M63</f>
        <v>355.2</v>
      </c>
      <c r="N138" s="6">
        <f t="shared" si="116"/>
        <v>355.2</v>
      </c>
      <c r="O138" s="6">
        <f t="shared" si="116"/>
        <v>355.2</v>
      </c>
    </row>
    <row r="139" spans="1:16" x14ac:dyDescent="0.2">
      <c r="A139" t="s">
        <v>165</v>
      </c>
      <c r="F139" s="6">
        <f>F66/F59*F45/F63</f>
        <v>355.2</v>
      </c>
      <c r="G139" s="6">
        <f t="shared" ref="G139:L139" si="117">G66/G59*G45/G63</f>
        <v>355.2</v>
      </c>
      <c r="H139" s="6">
        <f t="shared" si="117"/>
        <v>355.2</v>
      </c>
      <c r="I139" s="6">
        <f t="shared" si="117"/>
        <v>355.2</v>
      </c>
      <c r="J139" s="6">
        <f t="shared" si="117"/>
        <v>355.2</v>
      </c>
      <c r="K139" s="6">
        <f t="shared" si="117"/>
        <v>355.2</v>
      </c>
      <c r="L139" s="6">
        <f t="shared" si="117"/>
        <v>355.2</v>
      </c>
      <c r="M139" s="6">
        <f t="shared" ref="M139:O139" si="118">M66/M59*M45/M63</f>
        <v>355.2</v>
      </c>
      <c r="N139" s="6">
        <f t="shared" si="118"/>
        <v>355.2</v>
      </c>
      <c r="O139" s="6">
        <f t="shared" si="118"/>
        <v>355.2</v>
      </c>
    </row>
    <row r="140" spans="1:16" x14ac:dyDescent="0.2">
      <c r="A140" t="s">
        <v>425</v>
      </c>
      <c r="F140" s="6">
        <f ca="1">+(F138^2*F63^2*F59^2/'Battery Design'!F66*'Battery Design'!F51/100*(100-'Battery Design'!F51)/100)/('Battery Design'!F88/'Battery Design'!F102)/1000</f>
        <v>87.730000000894364</v>
      </c>
      <c r="G140" s="6">
        <f ca="1">+(G138^2*G63^2*G59^2/'Battery Design'!G66*'Battery Design'!G51/100*(100-'Battery Design'!G51)/100)/('Battery Design'!G88/'Battery Design'!G102)/1000</f>
        <v>87.729999999880491</v>
      </c>
      <c r="H140" s="6">
        <f ca="1">+(H138^2*H63^2*H59^2/'Battery Design'!H66*'Battery Design'!H51/100*(100-'Battery Design'!H51)/100)/('Battery Design'!H88/'Battery Design'!H102)/1000</f>
        <v>87.729999999640896</v>
      </c>
      <c r="I140" s="6">
        <f ca="1">+(I138^2*I63^2*I59^2/'Battery Design'!I66*'Battery Design'!I51/100*(100-'Battery Design'!I51)/100)/('Battery Design'!I88/'Battery Design'!I102)/1000</f>
        <v>87.729999997970523</v>
      </c>
      <c r="J140" s="6">
        <f ca="1">+(J138^2*J63^2*J59^2/'Battery Design'!J66*'Battery Design'!J51/100*(100-'Battery Design'!J51)/100)/('Battery Design'!J88/'Battery Design'!J102)/1000</f>
        <v>87.729999991860524</v>
      </c>
      <c r="K140" s="6">
        <f ca="1">+(K138^2*K63^2*K59^2/'Battery Design'!K66*'Battery Design'!K51/100*(100-'Battery Design'!K51)/100)/('Battery Design'!K88/'Battery Design'!K102)/1000</f>
        <v>91.844132185265678</v>
      </c>
      <c r="L140" s="6">
        <f ca="1">+(L138^2*L63^2*L59^2/'Battery Design'!L66*'Battery Design'!L51/100*(100-'Battery Design'!L51)/100)/('Battery Design'!L88/'Battery Design'!L102)/1000</f>
        <v>104.6250338090633</v>
      </c>
      <c r="M140" s="6">
        <f ca="1">+(M138^2*M63^2*M59^2/'Battery Design'!M66*'Battery Design'!M51/100*(100-'Battery Design'!M51)/100)/('Battery Design'!M88/'Battery Design'!M102)/1000</f>
        <v>111.96644816481543</v>
      </c>
      <c r="N140" s="6">
        <f ca="1">+(N138^2*N63^2*N59^2/'Battery Design'!N66*'Battery Design'!N51/100*(100-'Battery Design'!N51)/100)/('Battery Design'!N88/'Battery Design'!N102)/1000</f>
        <v>128.08702189979809</v>
      </c>
      <c r="O140" s="6">
        <f ca="1">+(O138^2*O63^2*O59^2/'Battery Design'!O66*'Battery Design'!O51/100*(100-'Battery Design'!O51)/100)/('Battery Design'!O88/'Battery Design'!O102)/1000</f>
        <v>148.0906297589776</v>
      </c>
    </row>
    <row r="141" spans="1:16" x14ac:dyDescent="0.2">
      <c r="A141" t="s">
        <v>286</v>
      </c>
      <c r="F141" s="4">
        <f t="shared" ref="F141:L141" ca="1" si="119">IF(MAX(F95,F96)&lt;F48,F57*1000/F138/F51*100,F57*1000/F138/F52*100)</f>
        <v>308.73451576576576</v>
      </c>
      <c r="G141" s="4">
        <f t="shared" ca="1" si="119"/>
        <v>308.73451576576576</v>
      </c>
      <c r="H141" s="4">
        <f t="shared" ca="1" si="119"/>
        <v>308.73451576576576</v>
      </c>
      <c r="I141" s="4">
        <f t="shared" ca="1" si="119"/>
        <v>308.73451576576576</v>
      </c>
      <c r="J141" s="4">
        <f t="shared" ca="1" si="119"/>
        <v>308.73451576576576</v>
      </c>
      <c r="K141" s="4">
        <f t="shared" ca="1" si="119"/>
        <v>303.46599036310482</v>
      </c>
      <c r="L141" s="4">
        <f t="shared" ca="1" si="119"/>
        <v>291.92883338638683</v>
      </c>
      <c r="M141" s="4">
        <f t="shared" ref="M141:O141" ca="1" si="120">IF(MAX(M95,M96)&lt;M48,M57*1000/M138/M51*100,M57*1000/M138/M52*100)</f>
        <v>287.03227718488284</v>
      </c>
      <c r="N141" s="4">
        <f t="shared" ca="1" si="120"/>
        <v>279.25099395604155</v>
      </c>
      <c r="O141" s="4">
        <f t="shared" ca="1" si="120"/>
        <v>272.60721624997421</v>
      </c>
    </row>
    <row r="142" spans="1:16" ht="14.25" x14ac:dyDescent="0.2">
      <c r="A142" t="s">
        <v>323</v>
      </c>
      <c r="F142" s="20">
        <f ca="1">F141*1000/F102/F59/F63</f>
        <v>3.0103666820733403</v>
      </c>
      <c r="G142" s="20">
        <f t="shared" ref="G142:O142" ca="1" si="121">G141*1000/G102/G59/G63</f>
        <v>5.2315434879182154</v>
      </c>
      <c r="H142" s="20">
        <f t="shared" ca="1" si="121"/>
        <v>8.6907424067722214</v>
      </c>
      <c r="I142" s="20">
        <f t="shared" ca="1" si="121"/>
        <v>13.593860788281191</v>
      </c>
      <c r="J142" s="20">
        <f t="shared" ca="1" si="121"/>
        <v>19.874248210519678</v>
      </c>
      <c r="K142" s="20">
        <f t="shared" ca="1" si="121"/>
        <v>24.530767848678874</v>
      </c>
      <c r="L142" s="20">
        <f t="shared" ca="1" si="121"/>
        <v>24.041159045633901</v>
      </c>
      <c r="M142" s="20">
        <f t="shared" ca="1" si="121"/>
        <v>24.211339868082579</v>
      </c>
      <c r="N142" s="20">
        <f t="shared" ca="1" si="121"/>
        <v>23.904310609488515</v>
      </c>
      <c r="O142" s="20">
        <f t="shared" ca="1" si="121"/>
        <v>23.635048867468964</v>
      </c>
    </row>
    <row r="143" spans="1:16" x14ac:dyDescent="0.2">
      <c r="A143" t="s">
        <v>246</v>
      </c>
      <c r="F143" s="6">
        <f ca="1">F141/F76/F63</f>
        <v>0.76022077646078157</v>
      </c>
      <c r="G143" s="6">
        <f t="shared" ref="G143:O143" ca="1" si="122">G141/G76/G63</f>
        <v>0.76233530148128215</v>
      </c>
      <c r="H143" s="6">
        <f t="shared" ca="1" si="122"/>
        <v>0.76539237248519953</v>
      </c>
      <c r="I143" s="6">
        <f t="shared" ca="1" si="122"/>
        <v>0.76957374622031605</v>
      </c>
      <c r="J143" s="6">
        <f t="shared" ca="1" si="122"/>
        <v>0.7646803151112056</v>
      </c>
      <c r="K143" s="6">
        <f t="shared" ca="1" si="122"/>
        <v>0.75766124579574134</v>
      </c>
      <c r="L143" s="6">
        <f t="shared" ca="1" si="122"/>
        <v>0.74253910946654411</v>
      </c>
      <c r="M143" s="6">
        <f t="shared" ca="1" si="122"/>
        <v>0.747795341751745</v>
      </c>
      <c r="N143" s="6">
        <f t="shared" ca="1" si="122"/>
        <v>0.73831238663199117</v>
      </c>
      <c r="O143" s="6">
        <f t="shared" ca="1" si="122"/>
        <v>0.72999592511060218</v>
      </c>
    </row>
    <row r="144" spans="1:16" x14ac:dyDescent="0.2">
      <c r="A144" t="s">
        <v>434</v>
      </c>
      <c r="F144" s="135">
        <v>0</v>
      </c>
      <c r="G144" s="135">
        <v>0</v>
      </c>
      <c r="H144" s="135">
        <v>0</v>
      </c>
      <c r="I144" s="135">
        <v>0</v>
      </c>
      <c r="J144" s="135">
        <v>0</v>
      </c>
      <c r="K144" s="135">
        <v>0</v>
      </c>
      <c r="L144" s="135">
        <v>0</v>
      </c>
      <c r="M144" s="135">
        <v>0</v>
      </c>
      <c r="N144" s="135">
        <v>0</v>
      </c>
      <c r="O144" s="135">
        <v>0</v>
      </c>
      <c r="P144" s="427"/>
    </row>
    <row r="145" spans="1:20" x14ac:dyDescent="0.2">
      <c r="A145" t="s">
        <v>340</v>
      </c>
      <c r="F145" s="213">
        <v>1.5</v>
      </c>
      <c r="G145" s="213">
        <v>1.5</v>
      </c>
      <c r="H145" s="213">
        <v>1.5</v>
      </c>
      <c r="I145" s="213">
        <v>1.5</v>
      </c>
      <c r="J145" s="213">
        <v>1.5</v>
      </c>
      <c r="K145" s="213">
        <v>1.5</v>
      </c>
      <c r="L145" s="213">
        <v>1.5</v>
      </c>
      <c r="M145" s="213">
        <v>1.5</v>
      </c>
      <c r="N145" s="213">
        <v>1.5</v>
      </c>
      <c r="O145" s="213">
        <v>1.5</v>
      </c>
    </row>
    <row r="146" spans="1:20" x14ac:dyDescent="0.2">
      <c r="A146" t="s">
        <v>450</v>
      </c>
      <c r="F146" s="4">
        <f ca="1">F60*F130+2*F70+2*F145</f>
        <v>1448.4697938748516</v>
      </c>
      <c r="G146" s="4">
        <f t="shared" ref="G146:O146" ca="1" si="123">G60*G130+2*G70+2*G145</f>
        <v>1199.469794004644</v>
      </c>
      <c r="H146" s="4">
        <f t="shared" ca="1" si="123"/>
        <v>1052.9522092807208</v>
      </c>
      <c r="I146" s="4">
        <f t="shared" ca="1" si="123"/>
        <v>1004.6975218362297</v>
      </c>
      <c r="J146" s="4">
        <f t="shared" ca="1" si="123"/>
        <v>940.03852588426798</v>
      </c>
      <c r="K146" s="4">
        <f t="shared" ca="1" si="123"/>
        <v>989.36982718020192</v>
      </c>
      <c r="L146" s="4">
        <f t="shared" ca="1" si="123"/>
        <v>988.80668859676416</v>
      </c>
      <c r="M146" s="4">
        <f t="shared" ca="1" si="123"/>
        <v>866.80501072281118</v>
      </c>
      <c r="N146" s="4">
        <f t="shared" ca="1" si="123"/>
        <v>866.45159016204468</v>
      </c>
      <c r="O146" s="4">
        <f t="shared" ca="1" si="123"/>
        <v>866.14447746303449</v>
      </c>
      <c r="P146" s="427"/>
    </row>
    <row r="147" spans="1:20" x14ac:dyDescent="0.2">
      <c r="A147" t="s">
        <v>451</v>
      </c>
      <c r="F147" s="4">
        <f ca="1">F61*F129+IF(F61=1,8,IF(F61=2,10,IF(F61=4,20)))+2*F70</f>
        <v>542.10045841715225</v>
      </c>
      <c r="G147" s="4">
        <f t="shared" ref="G147:L147" ca="1" si="124">G61*G129+IF(G61=1,8,IF(G61=2,10,IF(G61=4,20)))+2*G70</f>
        <v>541.52391829339717</v>
      </c>
      <c r="H147" s="4">
        <f t="shared" ca="1" si="124"/>
        <v>542.25047543331948</v>
      </c>
      <c r="I147" s="4">
        <f t="shared" ca="1" si="124"/>
        <v>533.04137266958173</v>
      </c>
      <c r="J147" s="4">
        <f t="shared" ca="1" si="124"/>
        <v>538.65859398795408</v>
      </c>
      <c r="K147" s="4">
        <f t="shared" ca="1" si="124"/>
        <v>518.38810785198007</v>
      </c>
      <c r="L147" s="4">
        <f t="shared" ca="1" si="124"/>
        <v>514.49690172373766</v>
      </c>
      <c r="M147" s="4">
        <f t="shared" ref="M147:O147" ca="1" si="125">M61*M129+IF(M61=1,8,IF(M61=2,10,IF(M61=4,20)))+2*M70</f>
        <v>542.50876703331687</v>
      </c>
      <c r="N147" s="4">
        <f t="shared" ca="1" si="125"/>
        <v>539.24889106579894</v>
      </c>
      <c r="O147" s="4">
        <f t="shared" ca="1" si="125"/>
        <v>536.44467161707598</v>
      </c>
    </row>
    <row r="148" spans="1:20" x14ac:dyDescent="0.2">
      <c r="A148" t="s">
        <v>452</v>
      </c>
      <c r="F148" s="4">
        <f ca="1">F131+2*F70</f>
        <v>283.25022920857612</v>
      </c>
      <c r="G148" s="4">
        <f t="shared" ref="G148:O148" ca="1" si="126">G131+G144+2*G70</f>
        <v>282.76195914669859</v>
      </c>
      <c r="H148" s="4">
        <f t="shared" ca="1" si="126"/>
        <v>283.12523771665974</v>
      </c>
      <c r="I148" s="4">
        <f t="shared" ca="1" si="126"/>
        <v>278.52068633479081</v>
      </c>
      <c r="J148" s="4">
        <f t="shared" ca="1" si="126"/>
        <v>281.32929699397704</v>
      </c>
      <c r="K148" s="4">
        <f t="shared" ca="1" si="126"/>
        <v>271.19405392599003</v>
      </c>
      <c r="L148" s="4">
        <f t="shared" ca="1" si="126"/>
        <v>269.24845086186883</v>
      </c>
      <c r="M148" s="4">
        <f t="shared" ca="1" si="126"/>
        <v>283.25438351665844</v>
      </c>
      <c r="N148" s="4">
        <f t="shared" ca="1" si="126"/>
        <v>281.62444553289947</v>
      </c>
      <c r="O148" s="4">
        <f t="shared" ca="1" si="126"/>
        <v>280.22233580853793</v>
      </c>
      <c r="P148" s="427"/>
    </row>
    <row r="149" spans="1:20" x14ac:dyDescent="0.2">
      <c r="A149" t="s">
        <v>542</v>
      </c>
      <c r="F149" s="176">
        <v>50</v>
      </c>
      <c r="G149" s="176">
        <v>50</v>
      </c>
      <c r="H149" s="176">
        <v>50</v>
      </c>
      <c r="I149" s="176">
        <v>50</v>
      </c>
      <c r="J149" s="176">
        <v>50</v>
      </c>
      <c r="K149" s="176">
        <v>50</v>
      </c>
      <c r="L149" s="176">
        <v>50</v>
      </c>
      <c r="M149" s="176">
        <v>50</v>
      </c>
      <c r="N149" s="176">
        <v>50</v>
      </c>
      <c r="O149" s="176">
        <v>50</v>
      </c>
    </row>
    <row r="150" spans="1:20" x14ac:dyDescent="0.2">
      <c r="A150" t="s">
        <v>448</v>
      </c>
      <c r="F150" s="4">
        <v>0</v>
      </c>
      <c r="G150" s="4">
        <v>0</v>
      </c>
      <c r="H150" s="4">
        <v>0</v>
      </c>
      <c r="I150" s="4">
        <v>0</v>
      </c>
      <c r="J150" s="4">
        <v>0</v>
      </c>
      <c r="K150" s="4">
        <v>0</v>
      </c>
      <c r="L150" s="4">
        <v>0</v>
      </c>
      <c r="M150" s="4">
        <v>0</v>
      </c>
      <c r="N150" s="4">
        <v>0</v>
      </c>
      <c r="O150" s="4">
        <v>0</v>
      </c>
      <c r="P150" s="427"/>
    </row>
    <row r="151" spans="1:20" x14ac:dyDescent="0.2">
      <c r="A151" t="s">
        <v>449</v>
      </c>
      <c r="F151" s="6">
        <f t="shared" ref="F151:L151" ca="1" si="127">F146*F149*F150*2/1000000</f>
        <v>0</v>
      </c>
      <c r="G151" s="6">
        <f t="shared" ca="1" si="127"/>
        <v>0</v>
      </c>
      <c r="H151" s="6">
        <f t="shared" ca="1" si="127"/>
        <v>0</v>
      </c>
      <c r="I151" s="6">
        <f t="shared" ca="1" si="127"/>
        <v>0</v>
      </c>
      <c r="J151" s="6">
        <f t="shared" ca="1" si="127"/>
        <v>0</v>
      </c>
      <c r="K151" s="6">
        <f t="shared" ca="1" si="127"/>
        <v>0</v>
      </c>
      <c r="L151" s="6">
        <f t="shared" ca="1" si="127"/>
        <v>0</v>
      </c>
      <c r="M151" s="6">
        <f t="shared" ref="M151:O151" ca="1" si="128">M146*M149*M150*2/1000000</f>
        <v>0</v>
      </c>
      <c r="N151" s="6">
        <f t="shared" ca="1" si="128"/>
        <v>0</v>
      </c>
      <c r="O151" s="6">
        <f t="shared" ca="1" si="128"/>
        <v>0</v>
      </c>
    </row>
    <row r="152" spans="1:20" x14ac:dyDescent="0.2">
      <c r="A152" t="s">
        <v>577</v>
      </c>
      <c r="D152" s="3"/>
      <c r="F152" s="135">
        <f>IF(OR(F54="PHEV",F54="EV"),4,IF(OR(F54="HEV-HP",F54="microHEV"),2))*IF(F64=2,1.5,IF(F64=3,2,1))</f>
        <v>4</v>
      </c>
      <c r="G152" s="135">
        <f t="shared" ref="G152:L152" si="129">IF(OR(G54="PHEV",G54="EV"),4,IF(OR(G54="HEV-HP",G54="microHEV"),2))*IF(G64=2,1.5,IF(G64=3,2,1))</f>
        <v>4</v>
      </c>
      <c r="H152" s="135">
        <f t="shared" si="129"/>
        <v>4</v>
      </c>
      <c r="I152" s="135">
        <f t="shared" si="129"/>
        <v>4</v>
      </c>
      <c r="J152" s="135">
        <f t="shared" si="129"/>
        <v>4</v>
      </c>
      <c r="K152" s="135">
        <f t="shared" si="129"/>
        <v>4</v>
      </c>
      <c r="L152" s="135">
        <f t="shared" si="129"/>
        <v>4</v>
      </c>
      <c r="M152" s="135">
        <f t="shared" ref="M152:O152" si="130">IF(OR(M54="PHEV",M54="EV"),4,IF(OR(M54="HEV-HP",M54="microHEV"),2))*IF(M64=2,1.5,IF(M64=3,2,1))</f>
        <v>4</v>
      </c>
      <c r="N152" s="135">
        <f t="shared" si="130"/>
        <v>4</v>
      </c>
      <c r="O152" s="135">
        <f t="shared" si="130"/>
        <v>4</v>
      </c>
    </row>
    <row r="153" spans="1:20" x14ac:dyDescent="0.2">
      <c r="A153" t="s">
        <v>579</v>
      </c>
      <c r="F153" s="6">
        <f ca="1">F146*F147*F148/1000000+F151+F152</f>
        <v>226.41265142450524</v>
      </c>
      <c r="G153" s="6">
        <f t="shared" ref="G153:L153" ca="1" si="131">G146*G147*G148/1000000+G151+G152</f>
        <v>187.6656504782768</v>
      </c>
      <c r="H153" s="6">
        <f t="shared" ca="1" si="131"/>
        <v>165.65427182089022</v>
      </c>
      <c r="I153" s="6">
        <f t="shared" ca="1" si="131"/>
        <v>153.16045737513738</v>
      </c>
      <c r="J153" s="6">
        <f t="shared" ca="1" si="131"/>
        <v>146.45385518200229</v>
      </c>
      <c r="K153" s="6">
        <f t="shared" ca="1" si="131"/>
        <v>143.08934267832913</v>
      </c>
      <c r="L153" s="6">
        <f t="shared" ca="1" si="131"/>
        <v>140.97691238675577</v>
      </c>
      <c r="M153" s="6">
        <f t="shared" ref="M153:O153" ca="1" si="132">M146*M147*M148/1000000+M151+M152</f>
        <v>137.20018056314976</v>
      </c>
      <c r="N153" s="6">
        <f t="shared" ca="1" si="132"/>
        <v>135.58425121975327</v>
      </c>
      <c r="O153" s="6">
        <f t="shared" ca="1" si="132"/>
        <v>134.2021109365063</v>
      </c>
      <c r="R153" s="226"/>
      <c r="S153" s="226"/>
      <c r="T153" s="226"/>
    </row>
    <row r="154" spans="1:20" x14ac:dyDescent="0.2">
      <c r="A154" s="252" t="s">
        <v>524</v>
      </c>
      <c r="F154" s="4">
        <f t="shared" ref="F154" ca="1" si="133">(5/F118*F141*F119)*1.2</f>
        <v>51.446674854850365</v>
      </c>
      <c r="G154" s="4">
        <f t="shared" ref="G154:L154" ca="1" si="134">(5/G118*G141*G119)*1.2</f>
        <v>51.446674854850365</v>
      </c>
      <c r="H154" s="4">
        <f t="shared" ca="1" si="134"/>
        <v>51.446674854850365</v>
      </c>
      <c r="I154" s="4">
        <f t="shared" ca="1" si="134"/>
        <v>51.446674854850365</v>
      </c>
      <c r="J154" s="4">
        <f t="shared" ca="1" si="134"/>
        <v>51.446674854850365</v>
      </c>
      <c r="K154" s="4">
        <f t="shared" ca="1" si="134"/>
        <v>50.568742199076752</v>
      </c>
      <c r="L154" s="4">
        <f t="shared" ca="1" si="134"/>
        <v>48.646221931919776</v>
      </c>
      <c r="M154" s="4">
        <f t="shared" ref="M154:O154" ca="1" si="135">(5/M118*M141*M119)*1.2</f>
        <v>47.830273205932819</v>
      </c>
      <c r="N154" s="4">
        <f t="shared" ca="1" si="135"/>
        <v>46.533621462169194</v>
      </c>
      <c r="O154" s="4">
        <f t="shared" ca="1" si="135"/>
        <v>45.426520525935452</v>
      </c>
      <c r="R154" s="226"/>
      <c r="S154" s="226"/>
      <c r="T154" s="226"/>
    </row>
    <row r="155" spans="1:20" x14ac:dyDescent="0.2">
      <c r="A155" s="252" t="s">
        <v>525</v>
      </c>
      <c r="F155" s="4">
        <f t="shared" ref="F155" ca="1" si="136">2*F145*(F147-2*F70)*(F148-2*F70)/1000*7.8</f>
        <v>3070.6476804247645</v>
      </c>
      <c r="G155" s="4">
        <f t="shared" ref="G155:L155" ca="1" si="137">2*G145*(G147-2*G70)*(G148-2*G70)/1000*7.8</f>
        <v>3061.3368121388912</v>
      </c>
      <c r="H155" s="4">
        <f t="shared" ca="1" si="137"/>
        <v>3070.0396301054434</v>
      </c>
      <c r="I155" s="4">
        <f t="shared" ca="1" si="137"/>
        <v>2960.6454846223742</v>
      </c>
      <c r="J155" s="4">
        <f t="shared" ca="1" si="137"/>
        <v>3027.1359132822868</v>
      </c>
      <c r="K155" s="4">
        <f t="shared" ca="1" si="137"/>
        <v>2790.6716435274766</v>
      </c>
      <c r="L155" s="4">
        <f t="shared" ca="1" si="137"/>
        <v>2746.3789990248429</v>
      </c>
      <c r="M155" s="4">
        <f t="shared" ref="M155:O155" ca="1" si="138">2*M145*(M147-2*M70)*(M148-2*M70)/1000*7.8</f>
        <v>3073.136464546325</v>
      </c>
      <c r="N155" s="4">
        <f t="shared" ca="1" si="138"/>
        <v>3034.1660667054275</v>
      </c>
      <c r="O155" s="4">
        <f t="shared" ca="1" si="138"/>
        <v>3000.8418032891364</v>
      </c>
      <c r="R155" s="226"/>
      <c r="S155" s="226"/>
      <c r="T155" s="226"/>
    </row>
    <row r="156" spans="1:20" x14ac:dyDescent="0.2">
      <c r="A156" s="252" t="s">
        <v>588</v>
      </c>
      <c r="F156" s="4">
        <f>IF(AND(F61=1,F60&gt;0),((F146-2*F70)/10)^2*F141/600000/F68*8.92,0)</f>
        <v>0</v>
      </c>
      <c r="G156" s="4">
        <f t="shared" ref="G156:O156" si="139">IF(AND(G61=1,G60&gt;0),((G146-2*G70)/10)^2*G141/600000/G68*8.92,0)</f>
        <v>0</v>
      </c>
      <c r="H156" s="4">
        <f t="shared" si="139"/>
        <v>0</v>
      </c>
      <c r="I156" s="4">
        <f t="shared" si="139"/>
        <v>0</v>
      </c>
      <c r="J156" s="4">
        <f t="shared" si="139"/>
        <v>0</v>
      </c>
      <c r="K156" s="4">
        <f t="shared" si="139"/>
        <v>0</v>
      </c>
      <c r="L156" s="4">
        <f t="shared" si="139"/>
        <v>0</v>
      </c>
      <c r="M156" s="4">
        <f t="shared" si="139"/>
        <v>0</v>
      </c>
      <c r="N156" s="4">
        <f t="shared" si="139"/>
        <v>0</v>
      </c>
      <c r="O156" s="4">
        <f t="shared" si="139"/>
        <v>0</v>
      </c>
      <c r="P156" s="427"/>
      <c r="R156" s="226"/>
      <c r="S156" s="226"/>
      <c r="T156" s="226"/>
    </row>
    <row r="157" spans="1:20" x14ac:dyDescent="0.2">
      <c r="A157" t="s">
        <v>318</v>
      </c>
      <c r="D157" s="3"/>
      <c r="F157" s="197">
        <f t="shared" ref="F157" ca="1" si="140">(F62-1)*2*(3/F141*F119)</f>
        <v>7.2821032857224441E-5</v>
      </c>
      <c r="G157" s="197">
        <f t="shared" ref="G157:L157" ca="1" si="141">(G62-1)*2*(3/G141*G119)</f>
        <v>7.2821032857224441E-5</v>
      </c>
      <c r="H157" s="197">
        <f t="shared" ca="1" si="141"/>
        <v>7.2821032857224441E-5</v>
      </c>
      <c r="I157" s="197">
        <f t="shared" ca="1" si="141"/>
        <v>7.2821032857224441E-5</v>
      </c>
      <c r="J157" s="197">
        <f t="shared" ca="1" si="141"/>
        <v>7.2821032857224441E-5</v>
      </c>
      <c r="K157" s="197">
        <f t="shared" ca="1" si="141"/>
        <v>7.4085291369347127E-5</v>
      </c>
      <c r="L157" s="197">
        <f t="shared" ca="1" si="141"/>
        <v>7.7013174943844028E-5</v>
      </c>
      <c r="M157" s="197">
        <f t="shared" ref="M157:O157" ca="1" si="142">(M62-1)*2*(3/M141*M119)</f>
        <v>7.8326962170379173E-5</v>
      </c>
      <c r="N157" s="197">
        <f t="shared" ca="1" si="142"/>
        <v>8.0509530147911246E-5</v>
      </c>
      <c r="O157" s="197">
        <f t="shared" ca="1" si="142"/>
        <v>8.2471647764901143E-5</v>
      </c>
      <c r="R157" s="226"/>
      <c r="S157" s="226"/>
      <c r="T157" s="226"/>
    </row>
    <row r="158" spans="1:20" x14ac:dyDescent="0.2">
      <c r="A158" t="s">
        <v>527</v>
      </c>
      <c r="D158" s="3"/>
      <c r="F158" s="197">
        <f t="shared" ref="F158" ca="1" si="143">2*(3/F141*F119)</f>
        <v>1.0403004693889205E-5</v>
      </c>
      <c r="G158" s="197">
        <f t="shared" ref="G158:L158" ca="1" si="144">2*(3/G141*G119)</f>
        <v>1.0403004693889205E-5</v>
      </c>
      <c r="H158" s="197">
        <f t="shared" ca="1" si="144"/>
        <v>1.0403004693889205E-5</v>
      </c>
      <c r="I158" s="197">
        <f t="shared" ca="1" si="144"/>
        <v>1.0403004693889205E-5</v>
      </c>
      <c r="J158" s="197">
        <f t="shared" ca="1" si="144"/>
        <v>1.0403004693889205E-5</v>
      </c>
      <c r="K158" s="197">
        <f t="shared" ca="1" si="144"/>
        <v>1.0583613052763875E-5</v>
      </c>
      <c r="L158" s="197">
        <f t="shared" ca="1" si="144"/>
        <v>1.1001882134834861E-5</v>
      </c>
      <c r="M158" s="197">
        <f t="shared" ref="M158:O158" ca="1" si="145">2*(3/M141*M119)</f>
        <v>1.1189566024339882E-5</v>
      </c>
      <c r="N158" s="197">
        <f t="shared" ca="1" si="145"/>
        <v>1.1501361449701606E-5</v>
      </c>
      <c r="O158" s="197">
        <f t="shared" ca="1" si="145"/>
        <v>1.1781663966414448E-5</v>
      </c>
      <c r="R158" s="226"/>
      <c r="S158" s="226"/>
      <c r="T158" s="226"/>
    </row>
    <row r="159" spans="1:20" x14ac:dyDescent="0.2">
      <c r="A159" t="s">
        <v>376</v>
      </c>
      <c r="D159" s="3"/>
      <c r="F159" s="6">
        <v>3</v>
      </c>
      <c r="G159" s="6">
        <v>3</v>
      </c>
      <c r="H159" s="6">
        <v>3</v>
      </c>
      <c r="I159" s="6">
        <v>3</v>
      </c>
      <c r="J159" s="6">
        <v>3</v>
      </c>
      <c r="K159" s="6">
        <v>3</v>
      </c>
      <c r="L159" s="6">
        <v>3</v>
      </c>
      <c r="M159" s="6">
        <v>3</v>
      </c>
      <c r="N159" s="6">
        <v>3</v>
      </c>
      <c r="O159" s="6">
        <v>3</v>
      </c>
      <c r="P159" s="427"/>
      <c r="R159" s="226"/>
      <c r="S159" s="226"/>
      <c r="T159" s="226"/>
    </row>
    <row r="160" spans="1:20" s="7" customFormat="1" x14ac:dyDescent="0.2">
      <c r="A160" s="252" t="s">
        <v>589</v>
      </c>
      <c r="B160"/>
      <c r="C160"/>
      <c r="D160" s="3"/>
      <c r="E160"/>
      <c r="F160" s="20">
        <f t="shared" ref="F160" si="146">F159*0.1</f>
        <v>0.30000000000000004</v>
      </c>
      <c r="G160" s="20">
        <f t="shared" ref="G160:L160" si="147">G159*0.1</f>
        <v>0.30000000000000004</v>
      </c>
      <c r="H160" s="20">
        <f t="shared" si="147"/>
        <v>0.30000000000000004</v>
      </c>
      <c r="I160" s="20">
        <f t="shared" si="147"/>
        <v>0.30000000000000004</v>
      </c>
      <c r="J160" s="20">
        <f t="shared" si="147"/>
        <v>0.30000000000000004</v>
      </c>
      <c r="K160" s="20">
        <f t="shared" si="147"/>
        <v>0.30000000000000004</v>
      </c>
      <c r="L160" s="20">
        <f t="shared" si="147"/>
        <v>0.30000000000000004</v>
      </c>
      <c r="M160" s="20">
        <f t="shared" ref="M160:O160" si="148">M159*0.1</f>
        <v>0.30000000000000004</v>
      </c>
      <c r="N160" s="20">
        <f t="shared" si="148"/>
        <v>0.30000000000000004</v>
      </c>
      <c r="O160" s="20">
        <f t="shared" si="148"/>
        <v>0.30000000000000004</v>
      </c>
      <c r="P160" s="106"/>
      <c r="Q160" s="106"/>
      <c r="R160" s="106"/>
      <c r="S160" s="106"/>
      <c r="T160" s="106"/>
    </row>
    <row r="161" spans="1:20" s="7" customFormat="1" x14ac:dyDescent="0.2">
      <c r="A161" s="252" t="s">
        <v>590</v>
      </c>
      <c r="B161"/>
      <c r="C161"/>
      <c r="D161"/>
      <c r="E161"/>
      <c r="F161" s="20">
        <f ca="1">('Flow and System'!C73*F129*2/3*F130+(F58/2)*F125*(F110+2*F126)*F126*0.5)*F62*1.07*10^-6</f>
        <v>13.562100939631399</v>
      </c>
      <c r="G161" s="20">
        <f ca="1">('Flow and System'!D73*G129*2/3*G130+(G58/2)*G125*(G110+2*G126)*G126*0.5)*G62*1.07*10^-6</f>
        <v>11.750399624034227</v>
      </c>
      <c r="H161" s="20">
        <f ca="1">('Flow and System'!E73*H129*2/3*H130+(H58/2)*H125*(H110+2*H126)*H126*0.5)*H62*1.07*10^-6</f>
        <v>10.719146906908621</v>
      </c>
      <c r="I161" s="20">
        <f ca="1">('Flow and System'!F73*I129*2/3*I130+(I58/2)*I125*(I110+2*I126)*I126*0.5)*I62*1.07*10^-6</f>
        <v>10.109973201875651</v>
      </c>
      <c r="J161" s="20">
        <f ca="1">('Flow and System'!G73*J129*2/3*J130+(J58/2)*J125*(J110+2*J126)*J126*0.5)*J62*1.07*10^-6</f>
        <v>9.8076370054827677</v>
      </c>
      <c r="K161" s="20">
        <f ca="1">('Flow and System'!H73*K129*2/3*K130+(K58/2)*K125*(K110+2*K126)*K126*0.5)*K62*1.07*10^-6</f>
        <v>9.5936003786988451</v>
      </c>
      <c r="L161" s="20">
        <f ca="1">('Flow and System'!I73*L129*2/3*L130+(L58/2)*L125*(L110+2*L126)*L126*0.5)*L62*1.07*10^-6</f>
        <v>9.4825532832367561</v>
      </c>
      <c r="M161" s="20">
        <f ca="1">('Flow and System'!J73*M129*2/3*M130+(M58/2)*M125*(M110+2*M126)*M126*0.5)*M62*1.07*10^-6</f>
        <v>9.386889309892732</v>
      </c>
      <c r="N161" s="20">
        <f ca="1">('Flow and System'!K73*N129*2/3*N130+(N58/2)*N125*(N110+2*N126)*N126*0.5)*N62*1.07*10^-6</f>
        <v>9.2976819683795338</v>
      </c>
      <c r="O161" s="20">
        <f ca="1">('Flow and System'!L73*O129*2/3*O130+(O58/2)*O125*(O110+2*O126)*O126*0.5)*O62*1.07*10^-6</f>
        <v>9.2212210278307793</v>
      </c>
      <c r="P161" s="427"/>
      <c r="Q161" s="106"/>
      <c r="R161" s="106"/>
      <c r="S161" s="106"/>
      <c r="T161" s="106"/>
    </row>
    <row r="162" spans="1:20" s="7" customFormat="1" ht="14.25" x14ac:dyDescent="0.2">
      <c r="A162" s="252" t="s">
        <v>591</v>
      </c>
      <c r="B162"/>
      <c r="C162"/>
      <c r="D162"/>
      <c r="E162"/>
      <c r="F162" s="20">
        <f t="shared" ref="F162" ca="1" si="149">F69/10*0.032+(F70-F69)/10*2.7</f>
        <v>1.1120000000000001</v>
      </c>
      <c r="G162" s="20">
        <f t="shared" ref="G162:L162" ca="1" si="150">G69/10*0.032+(G70-G69)/10*2.7</f>
        <v>1.1120000000000001</v>
      </c>
      <c r="H162" s="20">
        <f t="shared" ca="1" si="150"/>
        <v>1.1120000000000001</v>
      </c>
      <c r="I162" s="20">
        <f t="shared" ca="1" si="150"/>
        <v>1.1120000000000001</v>
      </c>
      <c r="J162" s="20">
        <f t="shared" ca="1" si="150"/>
        <v>1.1120000000000001</v>
      </c>
      <c r="K162" s="20">
        <f t="shared" ca="1" si="150"/>
        <v>1.1120000000000001</v>
      </c>
      <c r="L162" s="20">
        <f t="shared" ca="1" si="150"/>
        <v>1.1120000000000001</v>
      </c>
      <c r="M162" s="20">
        <f t="shared" ref="M162:O162" ca="1" si="151">M69/10*0.032+(M70-M69)/10*2.7</f>
        <v>1.1120000000000001</v>
      </c>
      <c r="N162" s="20">
        <f t="shared" ca="1" si="151"/>
        <v>1.1120000000000001</v>
      </c>
      <c r="O162" s="20">
        <f t="shared" ca="1" si="151"/>
        <v>1.1120000000000001</v>
      </c>
      <c r="P162" s="106"/>
      <c r="Q162" s="106"/>
      <c r="R162" s="106"/>
      <c r="S162" s="106"/>
      <c r="T162" s="106"/>
    </row>
    <row r="163" spans="1:20" s="7" customFormat="1" x14ac:dyDescent="0.2">
      <c r="A163" s="252" t="s">
        <v>592</v>
      </c>
      <c r="B163"/>
      <c r="C163"/>
      <c r="D163"/>
      <c r="E163"/>
      <c r="F163" s="20">
        <v>0</v>
      </c>
      <c r="G163" s="20">
        <v>0</v>
      </c>
      <c r="H163" s="20">
        <v>0</v>
      </c>
      <c r="I163" s="20">
        <v>0</v>
      </c>
      <c r="J163" s="20">
        <v>0</v>
      </c>
      <c r="K163" s="20">
        <v>0</v>
      </c>
      <c r="L163" s="20">
        <v>0</v>
      </c>
      <c r="M163" s="20">
        <v>0</v>
      </c>
      <c r="N163" s="20">
        <v>0</v>
      </c>
      <c r="O163" s="20">
        <v>0</v>
      </c>
      <c r="P163" s="427"/>
      <c r="Q163" s="106"/>
      <c r="R163" s="106"/>
      <c r="S163" s="106"/>
      <c r="T163" s="106"/>
    </row>
    <row r="164" spans="1:20" s="7" customFormat="1" x14ac:dyDescent="0.2">
      <c r="A164" s="252" t="s">
        <v>593</v>
      </c>
      <c r="B164"/>
      <c r="C164"/>
      <c r="D164"/>
      <c r="E164"/>
      <c r="F164" s="135">
        <f ca="1">(2*(F146-F70)*(F147-F70)+2*(F146-F70)*(F148-F70)+2*(F147-F70)*(F148-F70))/100*F162/1000+(F62+1)*F154/1000+F155/1000+F156/1000+F163</f>
        <v>32.133565961123331</v>
      </c>
      <c r="G164" s="135">
        <f t="shared" ref="G164:L164" ca="1" si="152">(2*(G146-G70)*(G147-G70)+2*(G146-G70)*(G148-G70)+2*(G147-G70)*(G148-G70))/100*G162/1000+(G62+1)*G154/1000+G155/1000+G156/1000+G163</f>
        <v>27.671463949132409</v>
      </c>
      <c r="H164" s="135">
        <f t="shared" ca="1" si="152"/>
        <v>25.119221352993659</v>
      </c>
      <c r="I164" s="135">
        <f t="shared" ca="1" si="152"/>
        <v>23.741466143458059</v>
      </c>
      <c r="J164" s="135">
        <f t="shared" ca="1" si="152"/>
        <v>22.920530353764534</v>
      </c>
      <c r="K164" s="135">
        <f t="shared" ca="1" si="152"/>
        <v>22.651299737416849</v>
      </c>
      <c r="L164" s="135">
        <f t="shared" ca="1" si="152"/>
        <v>22.409711635284125</v>
      </c>
      <c r="M164" s="135">
        <f t="shared" ref="M164:O164" ca="1" si="153">(2*(M146-M70)*(M147-M70)+2*(M146-M70)*(M148-M70)+2*(M147-M70)*(M148-M70))/100*M162/1000+(M62+1)*M154/1000+M155/1000+M156/1000+M163</f>
        <v>21.799116171872342</v>
      </c>
      <c r="N164" s="135">
        <f t="shared" ca="1" si="153"/>
        <v>21.610940755037316</v>
      </c>
      <c r="O164" s="135">
        <f t="shared" ca="1" si="153"/>
        <v>21.449538076561495</v>
      </c>
      <c r="P164" s="106"/>
      <c r="Q164" s="106"/>
      <c r="R164" s="106"/>
      <c r="S164" s="106"/>
      <c r="T164" s="106"/>
    </row>
    <row r="165" spans="1:20" s="7" customFormat="1" x14ac:dyDescent="0.2">
      <c r="A165" t="s">
        <v>578</v>
      </c>
      <c r="B165"/>
      <c r="C165"/>
      <c r="D165" s="3"/>
      <c r="E165"/>
      <c r="F165" s="135">
        <f>F152</f>
        <v>4</v>
      </c>
      <c r="G165" s="135">
        <f t="shared" ref="G165:L165" si="154">G152</f>
        <v>4</v>
      </c>
      <c r="H165" s="135">
        <f t="shared" si="154"/>
        <v>4</v>
      </c>
      <c r="I165" s="135">
        <f t="shared" si="154"/>
        <v>4</v>
      </c>
      <c r="J165" s="135">
        <f t="shared" si="154"/>
        <v>4</v>
      </c>
      <c r="K165" s="135">
        <f t="shared" si="154"/>
        <v>4</v>
      </c>
      <c r="L165" s="135">
        <f t="shared" si="154"/>
        <v>4</v>
      </c>
      <c r="M165" s="135">
        <f t="shared" ref="M165:O165" si="155">M152</f>
        <v>4</v>
      </c>
      <c r="N165" s="135">
        <f t="shared" si="155"/>
        <v>4</v>
      </c>
      <c r="O165" s="135">
        <f t="shared" si="155"/>
        <v>4</v>
      </c>
      <c r="P165" s="106"/>
      <c r="Q165" s="106"/>
      <c r="R165" s="106"/>
      <c r="S165" s="106"/>
      <c r="T165" s="106"/>
    </row>
    <row r="166" spans="1:20" s="7" customFormat="1" x14ac:dyDescent="0.2">
      <c r="A166" s="252" t="s">
        <v>533</v>
      </c>
      <c r="B166"/>
      <c r="C166"/>
      <c r="D166" s="3"/>
      <c r="E166"/>
      <c r="F166" s="135">
        <f ca="1">F62*F133+F161+F164+F165</f>
        <v>352.81657724298555</v>
      </c>
      <c r="G166" s="135">
        <f t="shared" ref="G166:L166" ca="1" si="156">G62*G133+G161+G164+G165</f>
        <v>257.18943757999284</v>
      </c>
      <c r="H166" s="135">
        <f t="shared" ca="1" si="156"/>
        <v>204.9562220616705</v>
      </c>
      <c r="I166" s="135">
        <f t="shared" ca="1" si="156"/>
        <v>175.29137032181669</v>
      </c>
      <c r="J166" s="135">
        <f t="shared" ca="1" si="156"/>
        <v>160.03314141675344</v>
      </c>
      <c r="K166" s="135">
        <f t="shared" ca="1" si="156"/>
        <v>150.79054712415461</v>
      </c>
      <c r="L166" s="135">
        <f t="shared" ca="1" si="156"/>
        <v>148.41949215031889</v>
      </c>
      <c r="M166" s="135">
        <f ca="1">M62*M133+M161+M164+M165</f>
        <v>147.75402219504565</v>
      </c>
      <c r="N166" s="135">
        <f t="shared" ref="N166:O166" ca="1" si="157">N62*N133+N161+N164+N165</f>
        <v>145.90575838337881</v>
      </c>
      <c r="O166" s="135">
        <f t="shared" ca="1" si="157"/>
        <v>144.32543715561599</v>
      </c>
      <c r="P166" s="106"/>
      <c r="Q166" s="106"/>
      <c r="R166" s="106"/>
      <c r="S166" s="106"/>
      <c r="T166" s="106"/>
    </row>
    <row r="167" spans="1:20" s="252" customFormat="1" x14ac:dyDescent="0.2">
      <c r="A167" s="252" t="s">
        <v>705</v>
      </c>
      <c r="D167" s="237"/>
      <c r="F167" s="135">
        <f ca="1">F153*F64</f>
        <v>226.41265142450524</v>
      </c>
      <c r="G167" s="135">
        <f t="shared" ref="G167:L167" ca="1" si="158">G153*G64</f>
        <v>187.6656504782768</v>
      </c>
      <c r="H167" s="135">
        <f t="shared" ca="1" si="158"/>
        <v>165.65427182089022</v>
      </c>
      <c r="I167" s="135">
        <f ca="1">I153*I64</f>
        <v>153.16045737513738</v>
      </c>
      <c r="J167" s="135">
        <f t="shared" ca="1" si="158"/>
        <v>146.45385518200229</v>
      </c>
      <c r="K167" s="135">
        <f t="shared" ca="1" si="158"/>
        <v>143.08934267832913</v>
      </c>
      <c r="L167" s="135">
        <f t="shared" ca="1" si="158"/>
        <v>140.97691238675577</v>
      </c>
      <c r="M167" s="135">
        <f ca="1">M153*M64</f>
        <v>137.20018056314976</v>
      </c>
      <c r="N167" s="135">
        <f t="shared" ref="N167:O167" ca="1" si="159">N153*N64</f>
        <v>135.58425121975327</v>
      </c>
      <c r="O167" s="135">
        <f t="shared" ca="1" si="159"/>
        <v>134.2021109365063</v>
      </c>
      <c r="P167" s="267"/>
      <c r="Q167" s="267"/>
      <c r="R167" s="267"/>
      <c r="S167" s="267"/>
      <c r="T167" s="267"/>
    </row>
    <row r="168" spans="1:20" x14ac:dyDescent="0.2">
      <c r="A168" s="252" t="s">
        <v>706</v>
      </c>
      <c r="D168" s="256"/>
      <c r="F168" s="135">
        <f ca="1">F166*F64</f>
        <v>352.81657724298555</v>
      </c>
      <c r="G168" s="135">
        <f t="shared" ref="G168:L168" ca="1" si="160">G166*G64</f>
        <v>257.18943757999284</v>
      </c>
      <c r="H168" s="135">
        <f t="shared" ca="1" si="160"/>
        <v>204.9562220616705</v>
      </c>
      <c r="I168" s="135">
        <f t="shared" ca="1" si="160"/>
        <v>175.29137032181669</v>
      </c>
      <c r="J168" s="135">
        <f t="shared" ca="1" si="160"/>
        <v>160.03314141675344</v>
      </c>
      <c r="K168" s="135">
        <f t="shared" ca="1" si="160"/>
        <v>150.79054712415461</v>
      </c>
      <c r="L168" s="135">
        <f t="shared" ca="1" si="160"/>
        <v>148.41949215031889</v>
      </c>
      <c r="M168" s="135">
        <f t="shared" ref="M168:O168" ca="1" si="161">M166*M64</f>
        <v>147.75402219504565</v>
      </c>
      <c r="N168" s="135">
        <f t="shared" ca="1" si="161"/>
        <v>145.90575838337881</v>
      </c>
      <c r="O168" s="135">
        <f t="shared" ca="1" si="161"/>
        <v>144.32543715561599</v>
      </c>
      <c r="Q168" s="226"/>
    </row>
    <row r="169" spans="1:20" ht="15.75" x14ac:dyDescent="0.25">
      <c r="A169" s="18" t="s">
        <v>689</v>
      </c>
      <c r="D169" s="256"/>
      <c r="F169" s="135"/>
      <c r="G169" s="135"/>
      <c r="H169" s="135"/>
      <c r="I169" s="135"/>
      <c r="J169" s="135"/>
      <c r="K169" s="135"/>
      <c r="L169" s="135"/>
      <c r="M169" s="135"/>
      <c r="N169" s="135"/>
      <c r="O169" s="135"/>
      <c r="Q169" s="226"/>
    </row>
    <row r="170" spans="1:20" x14ac:dyDescent="0.2">
      <c r="A170" s="252" t="s">
        <v>806</v>
      </c>
      <c r="D170" s="256"/>
      <c r="F170" s="135">
        <f>Components!$B$10</f>
        <v>89</v>
      </c>
      <c r="G170" s="135">
        <f>Components!$B$10</f>
        <v>89</v>
      </c>
      <c r="H170" s="135">
        <f>Components!$B$10</f>
        <v>89</v>
      </c>
      <c r="I170" s="135">
        <f>Components!$B$10</f>
        <v>89</v>
      </c>
      <c r="J170" s="135">
        <f>Components!$B$10</f>
        <v>89</v>
      </c>
      <c r="K170" s="135">
        <f>Components!$B$10</f>
        <v>89</v>
      </c>
      <c r="L170" s="135">
        <f>Components!$B$10</f>
        <v>89</v>
      </c>
      <c r="M170" s="135">
        <f>Components!$B$10</f>
        <v>89</v>
      </c>
      <c r="N170" s="135">
        <f>Components!$B$10</f>
        <v>89</v>
      </c>
      <c r="O170" s="135">
        <f>Components!$B$10</f>
        <v>89</v>
      </c>
      <c r="Q170" s="226"/>
    </row>
    <row r="171" spans="1:20" x14ac:dyDescent="0.2">
      <c r="A171" s="252" t="s">
        <v>807</v>
      </c>
      <c r="D171" s="256"/>
      <c r="F171" s="135">
        <f>Components!$C$10</f>
        <v>85</v>
      </c>
      <c r="G171" s="135">
        <f>Components!$C$10</f>
        <v>85</v>
      </c>
      <c r="H171" s="135">
        <f>Components!$C$10</f>
        <v>85</v>
      </c>
      <c r="I171" s="135">
        <f>Components!$C$10</f>
        <v>85</v>
      </c>
      <c r="J171" s="135">
        <f>Components!$C$10</f>
        <v>85</v>
      </c>
      <c r="K171" s="135">
        <f>Components!$C$10</f>
        <v>85</v>
      </c>
      <c r="L171" s="135">
        <f>Components!$C$10</f>
        <v>85</v>
      </c>
      <c r="M171" s="135">
        <f>Components!$C$10</f>
        <v>85</v>
      </c>
      <c r="N171" s="135">
        <f>Components!$C$10</f>
        <v>85</v>
      </c>
      <c r="O171" s="135">
        <f>Components!$C$10</f>
        <v>85</v>
      </c>
      <c r="Q171" s="226"/>
    </row>
    <row r="172" spans="1:20" x14ac:dyDescent="0.2">
      <c r="A172" s="252" t="s">
        <v>708</v>
      </c>
      <c r="D172" s="256"/>
      <c r="F172" s="135">
        <f ca="1">F170+F167</f>
        <v>315.41265142450527</v>
      </c>
      <c r="G172" s="135">
        <f t="shared" ref="G172:O172" ca="1" si="162">G170+G167</f>
        <v>276.6656504782768</v>
      </c>
      <c r="H172" s="135">
        <f t="shared" ca="1" si="162"/>
        <v>254.65427182089022</v>
      </c>
      <c r="I172" s="135">
        <f ca="1">I170+I167</f>
        <v>242.16045737513738</v>
      </c>
      <c r="J172" s="135">
        <f t="shared" ca="1" si="162"/>
        <v>235.45385518200229</v>
      </c>
      <c r="K172" s="135">
        <f t="shared" ca="1" si="162"/>
        <v>232.08934267832913</v>
      </c>
      <c r="L172" s="135">
        <f t="shared" ca="1" si="162"/>
        <v>229.97691238675577</v>
      </c>
      <c r="M172" s="135">
        <f t="shared" ca="1" si="162"/>
        <v>226.20018056314976</v>
      </c>
      <c r="N172" s="135">
        <f t="shared" ca="1" si="162"/>
        <v>224.58425121975327</v>
      </c>
      <c r="O172" s="135">
        <f t="shared" ca="1" si="162"/>
        <v>223.2021109365063</v>
      </c>
      <c r="Q172" s="226"/>
    </row>
    <row r="173" spans="1:20" x14ac:dyDescent="0.2">
      <c r="A173" s="252" t="s">
        <v>707</v>
      </c>
      <c r="D173" s="256"/>
      <c r="F173" s="135">
        <f ca="1">F171+F168</f>
        <v>437.81657724298555</v>
      </c>
      <c r="G173" s="135">
        <f t="shared" ref="G173:O173" ca="1" si="163">G171+G168</f>
        <v>342.18943757999284</v>
      </c>
      <c r="H173" s="135">
        <f t="shared" ca="1" si="163"/>
        <v>289.95622206167047</v>
      </c>
      <c r="I173" s="135">
        <f t="shared" ca="1" si="163"/>
        <v>260.29137032181666</v>
      </c>
      <c r="J173" s="135">
        <f t="shared" ca="1" si="163"/>
        <v>245.03314141675344</v>
      </c>
      <c r="K173" s="135">
        <f t="shared" ca="1" si="163"/>
        <v>235.79054712415461</v>
      </c>
      <c r="L173" s="135">
        <f t="shared" ca="1" si="163"/>
        <v>233.41949215031889</v>
      </c>
      <c r="M173" s="135">
        <f t="shared" ca="1" si="163"/>
        <v>232.75402219504565</v>
      </c>
      <c r="N173" s="135">
        <f t="shared" ca="1" si="163"/>
        <v>230.90575838337881</v>
      </c>
      <c r="O173" s="135">
        <f t="shared" ca="1" si="163"/>
        <v>229.32543715561599</v>
      </c>
      <c r="Q173" s="226"/>
    </row>
    <row r="174" spans="1:20" ht="15.75" x14ac:dyDescent="0.25">
      <c r="A174" s="18"/>
      <c r="D174" s="3"/>
      <c r="E174" s="252"/>
      <c r="Q174" s="226"/>
    </row>
    <row r="175" spans="1:20" x14ac:dyDescent="0.2">
      <c r="A175" s="365"/>
      <c r="F175" s="172"/>
      <c r="G175" s="172"/>
      <c r="H175" s="172"/>
      <c r="I175" s="172"/>
      <c r="J175" s="172"/>
      <c r="K175" s="172"/>
      <c r="L175" s="172"/>
      <c r="M175" s="172"/>
      <c r="N175" s="172"/>
      <c r="O175" s="172"/>
      <c r="P175" s="427"/>
      <c r="Q175" s="226"/>
    </row>
    <row r="176" spans="1:20" x14ac:dyDescent="0.2">
      <c r="A176" s="252"/>
      <c r="D176" s="3"/>
      <c r="F176" s="137"/>
      <c r="G176" s="137"/>
      <c r="H176" s="137"/>
      <c r="I176" s="137"/>
      <c r="J176" s="137"/>
      <c r="K176" s="137"/>
      <c r="L176" s="137"/>
      <c r="M176" s="137"/>
      <c r="N176" s="137"/>
      <c r="O176" s="137"/>
      <c r="P176" s="427"/>
      <c r="Q176" s="226"/>
    </row>
    <row r="177" spans="1:16" x14ac:dyDescent="0.2">
      <c r="A177" s="252"/>
      <c r="D177" s="3"/>
      <c r="F177" s="102"/>
      <c r="G177" s="102"/>
      <c r="H177" s="102"/>
      <c r="I177" s="102"/>
      <c r="J177" s="102"/>
      <c r="K177" s="102"/>
      <c r="L177" s="102"/>
      <c r="M177" s="102"/>
      <c r="N177" s="102"/>
      <c r="O177" s="102"/>
    </row>
    <row r="178" spans="1:16" x14ac:dyDescent="0.2">
      <c r="A178" s="252"/>
      <c r="D178" s="3"/>
      <c r="F178" s="135"/>
      <c r="G178" s="135"/>
      <c r="H178" s="135"/>
      <c r="I178" s="135"/>
      <c r="J178" s="135"/>
      <c r="K178" s="135"/>
      <c r="L178" s="135"/>
      <c r="M178" s="135"/>
      <c r="N178" s="135"/>
      <c r="O178" s="135"/>
      <c r="P178" s="427"/>
    </row>
    <row r="179" spans="1:16" x14ac:dyDescent="0.2">
      <c r="D179" s="3"/>
      <c r="F179" s="135"/>
      <c r="G179" s="135"/>
      <c r="H179" s="135"/>
      <c r="I179" s="135"/>
      <c r="J179" s="135"/>
      <c r="K179" s="135"/>
      <c r="L179" s="135"/>
      <c r="M179" s="135"/>
      <c r="N179" s="135"/>
      <c r="O179" s="135"/>
      <c r="P179" s="427"/>
    </row>
    <row r="180" spans="1:16" x14ac:dyDescent="0.2">
      <c r="D180" s="256"/>
      <c r="F180" s="135"/>
      <c r="G180" s="135"/>
      <c r="H180" s="135"/>
      <c r="I180" s="135"/>
      <c r="J180" s="135"/>
      <c r="K180" s="135"/>
      <c r="L180" s="135"/>
      <c r="M180" s="135"/>
      <c r="N180" s="135"/>
      <c r="O180" s="135"/>
    </row>
    <row r="181" spans="1:16" ht="15.75" x14ac:dyDescent="0.25">
      <c r="A181" s="18" t="s">
        <v>185</v>
      </c>
      <c r="D181" s="3"/>
      <c r="E181" s="106"/>
      <c r="F181" s="6"/>
      <c r="G181" s="6"/>
      <c r="H181" s="6"/>
      <c r="I181" s="6"/>
      <c r="J181" s="6"/>
      <c r="K181" s="6"/>
      <c r="L181" s="6"/>
      <c r="M181" s="6"/>
      <c r="N181" s="6"/>
      <c r="O181" s="6"/>
      <c r="P181" s="226"/>
    </row>
    <row r="182" spans="1:16" x14ac:dyDescent="0.2">
      <c r="A182" s="252" t="s">
        <v>535</v>
      </c>
      <c r="B182" s="252"/>
      <c r="C182" s="252"/>
      <c r="D182" s="237"/>
      <c r="E182" s="133"/>
      <c r="F182" s="269">
        <v>300</v>
      </c>
      <c r="G182" s="269">
        <v>300</v>
      </c>
      <c r="H182" s="269">
        <v>300</v>
      </c>
      <c r="I182" s="269">
        <v>300</v>
      </c>
      <c r="J182" s="269">
        <v>300</v>
      </c>
      <c r="K182" s="269">
        <v>300</v>
      </c>
      <c r="L182" s="269">
        <v>300</v>
      </c>
      <c r="M182" s="269">
        <v>300</v>
      </c>
      <c r="N182" s="269">
        <v>300</v>
      </c>
      <c r="O182" s="269">
        <v>300</v>
      </c>
      <c r="P182" s="226"/>
    </row>
    <row r="183" spans="1:16" x14ac:dyDescent="0.2">
      <c r="A183" s="252" t="s">
        <v>465</v>
      </c>
      <c r="B183" s="7"/>
      <c r="C183" s="7"/>
      <c r="D183" s="9"/>
      <c r="E183" s="152"/>
      <c r="F183" s="306">
        <f t="shared" ref="F183:O183" si="164">(F182/F64)</f>
        <v>300</v>
      </c>
      <c r="G183" s="306">
        <f t="shared" si="164"/>
        <v>300</v>
      </c>
      <c r="H183" s="306">
        <f t="shared" si="164"/>
        <v>300</v>
      </c>
      <c r="I183" s="306">
        <f t="shared" si="164"/>
        <v>300</v>
      </c>
      <c r="J183" s="306">
        <f t="shared" si="164"/>
        <v>300</v>
      </c>
      <c r="K183" s="306">
        <f t="shared" si="164"/>
        <v>300</v>
      </c>
      <c r="L183" s="306">
        <f t="shared" si="164"/>
        <v>300</v>
      </c>
      <c r="M183" s="306">
        <f t="shared" si="164"/>
        <v>300</v>
      </c>
      <c r="N183" s="306">
        <f t="shared" si="164"/>
        <v>300</v>
      </c>
      <c r="O183" s="306">
        <f t="shared" si="164"/>
        <v>300</v>
      </c>
      <c r="P183" s="226"/>
    </row>
    <row r="184" spans="1:16" x14ac:dyDescent="0.2">
      <c r="A184" s="7" t="s">
        <v>186</v>
      </c>
      <c r="B184" s="7"/>
      <c r="C184" s="7"/>
      <c r="D184" s="9"/>
      <c r="E184" s="7"/>
      <c r="F184" s="161">
        <f>Chem!$E65</f>
        <v>85</v>
      </c>
      <c r="G184" s="161">
        <f>Chem!$E65</f>
        <v>85</v>
      </c>
      <c r="H184" s="161">
        <f>Chem!$E65</f>
        <v>85</v>
      </c>
      <c r="I184" s="161">
        <f>Chem!$E65</f>
        <v>85</v>
      </c>
      <c r="J184" s="161">
        <f>Chem!$E65</f>
        <v>85</v>
      </c>
      <c r="K184" s="161">
        <f>Chem!$E65</f>
        <v>85</v>
      </c>
      <c r="L184" s="161">
        <f>Chem!$E65</f>
        <v>85</v>
      </c>
      <c r="M184" s="161">
        <f>Chem!$E65</f>
        <v>85</v>
      </c>
      <c r="N184" s="161">
        <f>Chem!$E65</f>
        <v>85</v>
      </c>
      <c r="O184" s="161">
        <f>Chem!$E65</f>
        <v>85</v>
      </c>
      <c r="P184" s="226"/>
    </row>
    <row r="185" spans="1:16" x14ac:dyDescent="0.2">
      <c r="A185" s="252" t="s">
        <v>187</v>
      </c>
      <c r="F185" s="20">
        <f t="shared" ref="F185:O185" ca="1" si="165">F136*F184/100/F183*1000</f>
        <v>362.41714890220339</v>
      </c>
      <c r="G185" s="20">
        <f t="shared" ca="1" si="165"/>
        <v>362.28962486987825</v>
      </c>
      <c r="H185" s="20">
        <f t="shared" ca="1" si="165"/>
        <v>362.09259522819332</v>
      </c>
      <c r="I185" s="20">
        <f t="shared" ca="1" si="165"/>
        <v>361.84937102856344</v>
      </c>
      <c r="J185" s="20">
        <f t="shared" ca="1" si="165"/>
        <v>361.4747036931285</v>
      </c>
      <c r="K185" s="20">
        <f t="shared" ca="1" si="165"/>
        <v>361.32627098953367</v>
      </c>
      <c r="L185" s="20">
        <f t="shared" ca="1" si="165"/>
        <v>361.37249102313405</v>
      </c>
      <c r="M185" s="20">
        <f t="shared" ca="1" si="165"/>
        <v>358.43417305741468</v>
      </c>
      <c r="N185" s="20">
        <f t="shared" ca="1" si="165"/>
        <v>358.47265280277099</v>
      </c>
      <c r="O185" s="20">
        <f t="shared" ca="1" si="165"/>
        <v>358.50511342180596</v>
      </c>
      <c r="P185" s="226"/>
    </row>
    <row r="186" spans="1:16" ht="15.75" x14ac:dyDescent="0.25">
      <c r="A186" s="18" t="s">
        <v>487</v>
      </c>
      <c r="E186" s="320"/>
      <c r="F186" s="233"/>
      <c r="G186" s="233"/>
      <c r="H186" s="233"/>
      <c r="I186" s="233" t="str">
        <f t="shared" ref="I186:O186" ca="1" si="166">I75</f>
        <v xml:space="preserve"> </v>
      </c>
      <c r="J186" s="233" t="str">
        <f t="shared" ca="1" si="166"/>
        <v xml:space="preserve"> </v>
      </c>
      <c r="K186" s="233" t="str">
        <f t="shared" ca="1" si="166"/>
        <v xml:space="preserve"> </v>
      </c>
      <c r="L186" s="233" t="str">
        <f t="shared" ca="1" si="166"/>
        <v xml:space="preserve"> </v>
      </c>
      <c r="M186" s="233" t="str">
        <f t="shared" ca="1" si="166"/>
        <v xml:space="preserve"> </v>
      </c>
      <c r="N186" s="233" t="str">
        <f t="shared" ca="1" si="166"/>
        <v xml:space="preserve"> </v>
      </c>
      <c r="O186" s="233" t="str">
        <f t="shared" ca="1" si="166"/>
        <v xml:space="preserve"> </v>
      </c>
      <c r="P186" s="226"/>
    </row>
    <row r="187" spans="1:16" x14ac:dyDescent="0.2">
      <c r="A187" s="58" t="s">
        <v>312</v>
      </c>
      <c r="B187" s="45"/>
      <c r="C187" s="45"/>
      <c r="D187" s="7"/>
      <c r="E187" s="7"/>
      <c r="F187" s="179"/>
      <c r="G187" s="179"/>
      <c r="H187" s="179"/>
      <c r="I187" s="179"/>
      <c r="J187" s="179"/>
      <c r="K187" s="179"/>
      <c r="L187" s="179"/>
      <c r="M187" s="179"/>
      <c r="N187" s="179"/>
      <c r="O187" s="179"/>
    </row>
    <row r="188" spans="1:16" x14ac:dyDescent="0.2">
      <c r="A188" s="58" t="s">
        <v>488</v>
      </c>
      <c r="B188" s="45"/>
      <c r="C188" s="45"/>
      <c r="D188" s="7"/>
      <c r="E188" s="7"/>
      <c r="F188" s="199"/>
      <c r="G188" s="199"/>
      <c r="H188" s="199"/>
      <c r="I188" s="199"/>
      <c r="J188" s="199"/>
      <c r="K188" s="199"/>
      <c r="L188" s="199"/>
      <c r="M188" s="199"/>
      <c r="N188" s="199"/>
      <c r="O188" s="199"/>
    </row>
    <row r="189" spans="1:16" x14ac:dyDescent="0.2">
      <c r="A189" s="5" t="s">
        <v>489</v>
      </c>
      <c r="B189" s="7"/>
      <c r="C189" s="7"/>
      <c r="D189" s="7"/>
      <c r="E189" s="264"/>
      <c r="F189" s="200">
        <f>'Flow and System'!C10</f>
        <v>128</v>
      </c>
      <c r="G189" s="200">
        <f>'Flow and System'!D10</f>
        <v>128</v>
      </c>
      <c r="H189" s="200">
        <f>'Flow and System'!E10</f>
        <v>128</v>
      </c>
      <c r="I189" s="200">
        <f>'Flow and System'!F10</f>
        <v>128</v>
      </c>
      <c r="J189" s="200">
        <f>'Flow and System'!G10</f>
        <v>128</v>
      </c>
      <c r="K189" s="200">
        <f>'Flow and System'!H10</f>
        <v>128</v>
      </c>
      <c r="L189" s="200">
        <f>'Flow and System'!I10</f>
        <v>128</v>
      </c>
      <c r="M189" s="200">
        <f>'Flow and System'!J10</f>
        <v>127</v>
      </c>
      <c r="N189" s="200">
        <f>'Flow and System'!K10</f>
        <v>127</v>
      </c>
      <c r="O189" s="200">
        <f>'Flow and System'!L10</f>
        <v>127</v>
      </c>
    </row>
    <row r="190" spans="1:16" x14ac:dyDescent="0.2">
      <c r="A190" s="5" t="s">
        <v>320</v>
      </c>
      <c r="B190" s="7"/>
      <c r="C190" s="7"/>
      <c r="D190" s="7"/>
      <c r="E190" s="7"/>
      <c r="F190" s="201"/>
      <c r="G190" s="201"/>
      <c r="H190" s="201"/>
      <c r="I190" s="201"/>
      <c r="J190" s="201"/>
      <c r="K190" s="201"/>
      <c r="L190" s="201"/>
      <c r="M190" s="201"/>
      <c r="N190" s="201"/>
      <c r="O190" s="201"/>
    </row>
    <row r="191" spans="1:16" x14ac:dyDescent="0.2">
      <c r="A191" s="252" t="s">
        <v>445</v>
      </c>
      <c r="B191" s="7"/>
      <c r="C191" s="7"/>
      <c r="D191" s="7"/>
      <c r="E191" s="7"/>
      <c r="F191" s="265">
        <f t="shared" ref="F191:O191" ca="1" si="167">F76</f>
        <v>406.1116524637535</v>
      </c>
      <c r="G191" s="265">
        <f t="shared" ca="1" si="167"/>
        <v>404.98520161124429</v>
      </c>
      <c r="H191" s="265">
        <f t="shared" ca="1" si="167"/>
        <v>403.36764104836413</v>
      </c>
      <c r="I191" s="265">
        <f t="shared" ca="1" si="167"/>
        <v>401.17599811854842</v>
      </c>
      <c r="J191" s="265">
        <f t="shared" ca="1" si="167"/>
        <v>403.74325017228574</v>
      </c>
      <c r="K191" s="265">
        <f t="shared" ca="1" si="167"/>
        <v>400.52990970177791</v>
      </c>
      <c r="L191" s="265">
        <f t="shared" ca="1" si="167"/>
        <v>393.14943773953496</v>
      </c>
      <c r="M191" s="265">
        <f t="shared" ca="1" si="167"/>
        <v>383.83801176468489</v>
      </c>
      <c r="N191" s="265">
        <f t="shared" ca="1" si="167"/>
        <v>378.22878094991665</v>
      </c>
      <c r="O191" s="265">
        <f t="shared" ca="1" si="167"/>
        <v>373.43662734647637</v>
      </c>
      <c r="P191" s="427"/>
    </row>
    <row r="192" spans="1:16" x14ac:dyDescent="0.2">
      <c r="A192" s="7" t="s">
        <v>2</v>
      </c>
      <c r="F192" s="66">
        <f ca="1">F191</f>
        <v>406.1116524637535</v>
      </c>
      <c r="G192" s="66">
        <f t="shared" ref="G192:O192" ca="1" si="168">G191</f>
        <v>404.98520161124429</v>
      </c>
      <c r="H192" s="66">
        <f t="shared" ca="1" si="168"/>
        <v>403.36764104836413</v>
      </c>
      <c r="I192" s="66">
        <f t="shared" ca="1" si="168"/>
        <v>401.17599811854842</v>
      </c>
      <c r="J192" s="66">
        <f t="shared" ca="1" si="168"/>
        <v>403.74325017228574</v>
      </c>
      <c r="K192" s="66">
        <f t="shared" ca="1" si="168"/>
        <v>400.52990970177791</v>
      </c>
      <c r="L192" s="66">
        <f t="shared" ca="1" si="168"/>
        <v>393.14943773953496</v>
      </c>
      <c r="M192" s="66">
        <f t="shared" ca="1" si="168"/>
        <v>383.83801176468489</v>
      </c>
      <c r="N192" s="66">
        <f t="shared" ca="1" si="168"/>
        <v>378.22878094991665</v>
      </c>
      <c r="O192" s="66">
        <f t="shared" ca="1" si="168"/>
        <v>373.43662734647637</v>
      </c>
      <c r="P192" s="427"/>
    </row>
    <row r="193" spans="1:17" x14ac:dyDescent="0.2">
      <c r="A193" s="7" t="s">
        <v>248</v>
      </c>
      <c r="F193" s="66">
        <f t="shared" ref="F193:L193" ca="1" si="169">F192</f>
        <v>406.1116524637535</v>
      </c>
      <c r="G193" s="66">
        <f t="shared" ca="1" si="169"/>
        <v>404.98520161124429</v>
      </c>
      <c r="H193" s="66">
        <f t="shared" ca="1" si="169"/>
        <v>403.36764104836413</v>
      </c>
      <c r="I193" s="66">
        <f t="shared" ca="1" si="169"/>
        <v>401.17599811854842</v>
      </c>
      <c r="J193" s="66">
        <f t="shared" ca="1" si="169"/>
        <v>403.74325017228574</v>
      </c>
      <c r="K193" s="66">
        <f t="shared" ca="1" si="169"/>
        <v>400.52990970177791</v>
      </c>
      <c r="L193" s="66">
        <f t="shared" ca="1" si="169"/>
        <v>393.14943773953496</v>
      </c>
      <c r="M193" s="66">
        <f t="shared" ref="M193:O193" ca="1" si="170">M192</f>
        <v>383.83801176468489</v>
      </c>
      <c r="N193" s="66">
        <f t="shared" ca="1" si="170"/>
        <v>378.22878094991665</v>
      </c>
      <c r="O193" s="66">
        <f t="shared" ca="1" si="170"/>
        <v>373.43662734647637</v>
      </c>
    </row>
    <row r="194" spans="1:17" x14ac:dyDescent="0.2">
      <c r="A194" s="7" t="s">
        <v>250</v>
      </c>
      <c r="F194" s="6">
        <f ca="1">F97</f>
        <v>24.460965277507523</v>
      </c>
      <c r="G194" s="473">
        <f t="shared" ref="G194:O194" ca="1" si="171">G97</f>
        <v>42.391397657558727</v>
      </c>
      <c r="H194" s="473">
        <f t="shared" ca="1" si="171"/>
        <v>70.14014746833719</v>
      </c>
      <c r="I194" s="473">
        <f t="shared" ca="1" si="171"/>
        <v>109.11551369708545</v>
      </c>
      <c r="J194" s="473">
        <f t="shared" ca="1" si="171"/>
        <v>160.54793573569086</v>
      </c>
      <c r="K194" s="473">
        <f t="shared" ca="1" si="171"/>
        <v>200</v>
      </c>
      <c r="L194" s="473">
        <f t="shared" ca="1" si="171"/>
        <v>200</v>
      </c>
      <c r="M194" s="473">
        <f t="shared" ca="1" si="171"/>
        <v>200</v>
      </c>
      <c r="N194" s="473">
        <f t="shared" ca="1" si="171"/>
        <v>200</v>
      </c>
      <c r="O194" s="473">
        <f t="shared" ca="1" si="171"/>
        <v>200</v>
      </c>
      <c r="P194" s="427"/>
    </row>
    <row r="195" spans="1:17" x14ac:dyDescent="0.2">
      <c r="A195" s="7"/>
      <c r="F195" s="6"/>
      <c r="G195" s="6"/>
      <c r="H195" s="6"/>
      <c r="I195" s="6"/>
      <c r="J195" s="6"/>
      <c r="K195" s="6"/>
      <c r="L195" s="6"/>
      <c r="M195" s="6"/>
      <c r="N195" s="6"/>
      <c r="O195" s="6"/>
    </row>
    <row r="196" spans="1:17" x14ac:dyDescent="0.2">
      <c r="A196" s="7" t="s">
        <v>249</v>
      </c>
      <c r="F196" s="20">
        <v>0.3</v>
      </c>
      <c r="G196" s="20">
        <f t="shared" ref="G196:O196" si="172">IF(OR(G54="EV",G54="PHEV"),0.3,1)</f>
        <v>0.3</v>
      </c>
      <c r="H196" s="20">
        <f t="shared" si="172"/>
        <v>0.3</v>
      </c>
      <c r="I196" s="20">
        <f t="shared" si="172"/>
        <v>0.3</v>
      </c>
      <c r="J196" s="20">
        <f t="shared" si="172"/>
        <v>0.3</v>
      </c>
      <c r="K196" s="20">
        <f t="shared" si="172"/>
        <v>0.3</v>
      </c>
      <c r="L196" s="20">
        <f t="shared" si="172"/>
        <v>0.3</v>
      </c>
      <c r="M196" s="20">
        <f t="shared" si="172"/>
        <v>0.3</v>
      </c>
      <c r="N196" s="20">
        <f t="shared" si="172"/>
        <v>0.3</v>
      </c>
      <c r="O196" s="20">
        <f t="shared" si="172"/>
        <v>0.3</v>
      </c>
    </row>
    <row r="197" spans="1:17" ht="15.75" x14ac:dyDescent="0.25">
      <c r="A197" s="7"/>
      <c r="E197" s="150" t="s">
        <v>322</v>
      </c>
      <c r="F197" s="426">
        <v>0</v>
      </c>
      <c r="G197" s="426">
        <f t="shared" ref="G197:O197" si="173">F197</f>
        <v>0</v>
      </c>
      <c r="H197" s="426">
        <f t="shared" si="173"/>
        <v>0</v>
      </c>
      <c r="I197" s="426">
        <f t="shared" si="173"/>
        <v>0</v>
      </c>
      <c r="J197" s="426">
        <f t="shared" si="173"/>
        <v>0</v>
      </c>
      <c r="K197" s="426">
        <f t="shared" si="173"/>
        <v>0</v>
      </c>
      <c r="L197" s="426">
        <f t="shared" si="173"/>
        <v>0</v>
      </c>
      <c r="M197" s="426">
        <f t="shared" si="173"/>
        <v>0</v>
      </c>
      <c r="N197" s="426">
        <f t="shared" si="173"/>
        <v>0</v>
      </c>
      <c r="O197" s="426">
        <f t="shared" si="173"/>
        <v>0</v>
      </c>
      <c r="P197" s="267"/>
    </row>
    <row r="198" spans="1:17" x14ac:dyDescent="0.2">
      <c r="F198" s="441"/>
      <c r="G198" s="441"/>
      <c r="H198" s="441"/>
      <c r="I198" s="441"/>
      <c r="J198" s="441"/>
      <c r="K198" s="441"/>
      <c r="L198" s="441"/>
      <c r="M198" s="441"/>
      <c r="N198" s="441"/>
      <c r="O198" s="441"/>
      <c r="P198" s="250"/>
    </row>
    <row r="199" spans="1:17" ht="15.75" x14ac:dyDescent="0.25">
      <c r="C199" s="17"/>
      <c r="D199" s="17"/>
      <c r="E199" s="493" t="s">
        <v>544</v>
      </c>
      <c r="F199" s="53"/>
      <c r="G199" s="53"/>
      <c r="H199" s="53"/>
      <c r="I199" s="53"/>
      <c r="J199" s="53"/>
      <c r="K199" s="20"/>
      <c r="L199" s="20"/>
      <c r="M199" s="20"/>
      <c r="N199" s="20"/>
      <c r="O199" s="20"/>
      <c r="P199" s="250"/>
      <c r="Q199" s="250"/>
    </row>
    <row r="200" spans="1:17" x14ac:dyDescent="0.2">
      <c r="C200" s="17"/>
      <c r="D200" s="17"/>
      <c r="E200" s="414" t="s">
        <v>545</v>
      </c>
      <c r="F200" s="394">
        <f>'Summary of Results'!F17</f>
        <v>87.73</v>
      </c>
      <c r="G200" s="394">
        <f>'Summary of Results'!G17</f>
        <v>87.73</v>
      </c>
      <c r="H200" s="394">
        <f>'Summary of Results'!H17</f>
        <v>87.73</v>
      </c>
      <c r="I200" s="394">
        <f>'Summary of Results'!I17</f>
        <v>87.73</v>
      </c>
      <c r="J200" s="394">
        <f>'Summary of Results'!J17</f>
        <v>87.73</v>
      </c>
      <c r="K200" s="6">
        <f>'Summary of Results'!K17</f>
        <v>87.55</v>
      </c>
      <c r="L200" s="6">
        <f>'Summary of Results'!L17</f>
        <v>87.25</v>
      </c>
      <c r="M200" s="6">
        <f>'Summary of Results'!M17</f>
        <v>87.1</v>
      </c>
      <c r="N200" s="6">
        <f>'Summary of Results'!N17</f>
        <v>86.9</v>
      </c>
      <c r="O200" s="6">
        <f>'Summary of Results'!O17</f>
        <v>86.7</v>
      </c>
      <c r="P200" s="137"/>
      <c r="Q200" s="137"/>
    </row>
    <row r="201" spans="1:17" x14ac:dyDescent="0.2">
      <c r="C201" s="17"/>
      <c r="D201" s="17"/>
      <c r="E201" s="414" t="s">
        <v>857</v>
      </c>
      <c r="F201" s="53">
        <f ca="1">'Summary of Results'!F9</f>
        <v>127.91193490660893</v>
      </c>
      <c r="G201" s="53">
        <f ca="1">'Summary of Results'!G9</f>
        <v>127.86692642467084</v>
      </c>
      <c r="H201" s="53">
        <f ca="1">'Summary of Results'!H9</f>
        <v>127.79738655113762</v>
      </c>
      <c r="I201" s="53">
        <f ca="1">'Summary of Results'!I9</f>
        <v>127.71154271598141</v>
      </c>
      <c r="J201" s="53">
        <f ca="1">'Summary of Results'!J9</f>
        <v>127.5793071858067</v>
      </c>
      <c r="K201" s="20">
        <f ca="1">'Summary of Results'!K9</f>
        <v>127.52691917277663</v>
      </c>
      <c r="L201" s="20">
        <f ca="1">'Summary of Results'!L9</f>
        <v>127.54323212581204</v>
      </c>
      <c r="M201" s="20">
        <f ca="1">'Summary of Results'!M9</f>
        <v>126.50617872614636</v>
      </c>
      <c r="N201" s="20">
        <f ca="1">'Summary of Results'!N9</f>
        <v>126.51975981274269</v>
      </c>
      <c r="O201" s="20">
        <f ca="1">'Summary of Results'!O9</f>
        <v>126.53121650181387</v>
      </c>
      <c r="P201" s="137"/>
      <c r="Q201" s="137"/>
    </row>
    <row r="202" spans="1:17" x14ac:dyDescent="0.2">
      <c r="C202" s="17"/>
      <c r="D202" s="17"/>
      <c r="E202" s="414" t="s">
        <v>858</v>
      </c>
      <c r="F202" s="438">
        <f t="shared" ref="F202:O202" ca="1" si="174">F137</f>
        <v>100.17673157304623</v>
      </c>
      <c r="G202" s="438">
        <f t="shared" ca="1" si="174"/>
        <v>100.20065033531274</v>
      </c>
      <c r="H202" s="438">
        <f t="shared" ca="1" si="174"/>
        <v>100.23499719250283</v>
      </c>
      <c r="I202" s="438">
        <f t="shared" ca="1" si="174"/>
        <v>100.28153396426171</v>
      </c>
      <c r="J202" s="438">
        <f t="shared" ca="1" si="174"/>
        <v>100.22702160677727</v>
      </c>
      <c r="K202" s="89">
        <f t="shared" ca="1" si="174"/>
        <v>100.2952528364309</v>
      </c>
      <c r="L202" s="89">
        <f t="shared" ca="1" si="174"/>
        <v>100.46734175259535</v>
      </c>
      <c r="M202" s="89">
        <f t="shared" ca="1" si="174"/>
        <v>99.761982468854342</v>
      </c>
      <c r="N202" s="89">
        <f t="shared" ca="1" si="174"/>
        <v>99.892818540118768</v>
      </c>
      <c r="O202" s="89">
        <f t="shared" ca="1" si="174"/>
        <v>99.998582429974761</v>
      </c>
      <c r="P202" s="137"/>
      <c r="Q202" s="137"/>
    </row>
    <row r="203" spans="1:17" x14ac:dyDescent="0.2">
      <c r="C203" s="17"/>
      <c r="D203" s="17"/>
      <c r="E203" s="414" t="s">
        <v>710</v>
      </c>
      <c r="F203" s="394">
        <f ca="1">F77*1000/F102</f>
        <v>3.9598584717562502</v>
      </c>
      <c r="G203" s="394">
        <f t="shared" ref="G203:O203" ca="1" si="175">G77*1000/G102</f>
        <v>6.8625229315143645</v>
      </c>
      <c r="H203" s="394">
        <f t="shared" ca="1" si="175"/>
        <v>11.354623744882272</v>
      </c>
      <c r="I203" s="394">
        <f t="shared" ca="1" si="175"/>
        <v>17.66414311174994</v>
      </c>
      <c r="J203" s="394">
        <f t="shared" ca="1" si="175"/>
        <v>25.990270466985166</v>
      </c>
      <c r="K203" s="394">
        <f t="shared" ca="1" si="175"/>
        <v>32.376959999999983</v>
      </c>
      <c r="L203" s="394">
        <f t="shared" ca="1" si="175"/>
        <v>32.376959999999976</v>
      </c>
      <c r="M203" s="394">
        <f t="shared" ca="1" si="175"/>
        <v>32.376960000000004</v>
      </c>
      <c r="N203" s="394">
        <f t="shared" ca="1" si="175"/>
        <v>32.376959999999997</v>
      </c>
      <c r="O203" s="394">
        <f t="shared" ca="1" si="175"/>
        <v>32.376960000000004</v>
      </c>
      <c r="P203" s="137"/>
      <c r="Q203" s="137"/>
    </row>
    <row r="204" spans="1:17" x14ac:dyDescent="0.2">
      <c r="C204" s="17"/>
      <c r="D204" s="17"/>
      <c r="E204" s="414" t="s">
        <v>805</v>
      </c>
      <c r="F204" s="379">
        <f ca="1">'Iterative I-V'!C137</f>
        <v>1230.6853551267579</v>
      </c>
      <c r="G204" s="379">
        <f ca="1">'Iterative I-V'!D137</f>
        <v>708.16847795399735</v>
      </c>
      <c r="H204" s="379">
        <f ca="1">'Iterative I-V'!E137</f>
        <v>426.29432743308888</v>
      </c>
      <c r="I204" s="379">
        <f ca="1">'Iterative I-V'!F137</f>
        <v>272.53583414529186</v>
      </c>
      <c r="J204" s="379">
        <f ca="1">'Iterative I-V'!G137</f>
        <v>186.41279659716571</v>
      </c>
      <c r="K204" s="379">
        <f ca="1">'Iterative I-V'!H137</f>
        <v>148.44997542762923</v>
      </c>
      <c r="L204" s="379">
        <f ca="1">'Iterative I-V'!I137</f>
        <v>145.71452208219731</v>
      </c>
      <c r="M204" s="379">
        <f ca="1">'Iterative I-V'!J137</f>
        <v>142.26339165802528</v>
      </c>
      <c r="N204" s="379">
        <f ca="1">'Iterative I-V'!K137</f>
        <v>140.1844203840941</v>
      </c>
      <c r="O204" s="379">
        <f ca="1">'Iterative I-V'!L137</f>
        <v>138.40828564997196</v>
      </c>
      <c r="P204" s="482"/>
      <c r="Q204" s="137"/>
    </row>
    <row r="205" spans="1:17" x14ac:dyDescent="0.2">
      <c r="C205" s="17"/>
      <c r="D205" s="26" t="s">
        <v>631</v>
      </c>
      <c r="E205" s="414" t="s">
        <v>584</v>
      </c>
      <c r="F205" s="379">
        <f t="shared" ref="F205:O205" ca="1" si="176">F168</f>
        <v>352.81657724298555</v>
      </c>
      <c r="G205" s="379">
        <f t="shared" ca="1" si="176"/>
        <v>257.18943757999284</v>
      </c>
      <c r="H205" s="379">
        <f t="shared" ca="1" si="176"/>
        <v>204.9562220616705</v>
      </c>
      <c r="I205" s="379">
        <f t="shared" ca="1" si="176"/>
        <v>175.29137032181669</v>
      </c>
      <c r="J205" s="379">
        <f t="shared" ca="1" si="176"/>
        <v>160.03314141675344</v>
      </c>
      <c r="K205" s="4">
        <f t="shared" ca="1" si="176"/>
        <v>150.79054712415461</v>
      </c>
      <c r="L205" s="4">
        <f t="shared" ca="1" si="176"/>
        <v>148.41949215031889</v>
      </c>
      <c r="M205" s="4">
        <f t="shared" ca="1" si="176"/>
        <v>147.75402219504565</v>
      </c>
      <c r="N205" s="4">
        <f t="shared" ca="1" si="176"/>
        <v>145.90575838337881</v>
      </c>
      <c r="O205" s="4">
        <f t="shared" ca="1" si="176"/>
        <v>144.32543715561599</v>
      </c>
      <c r="P205" s="137"/>
      <c r="Q205" s="137"/>
    </row>
    <row r="206" spans="1:17" x14ac:dyDescent="0.2">
      <c r="C206" s="17"/>
      <c r="D206" s="26" t="s">
        <v>631</v>
      </c>
      <c r="E206" s="414" t="s">
        <v>422</v>
      </c>
      <c r="F206" s="379">
        <f t="shared" ref="F206:O206" ca="1" si="177">F167</f>
        <v>226.41265142450524</v>
      </c>
      <c r="G206" s="379">
        <f t="shared" ca="1" si="177"/>
        <v>187.6656504782768</v>
      </c>
      <c r="H206" s="379">
        <f t="shared" ca="1" si="177"/>
        <v>165.65427182089022</v>
      </c>
      <c r="I206" s="379">
        <f t="shared" ca="1" si="177"/>
        <v>153.16045737513738</v>
      </c>
      <c r="J206" s="379">
        <f t="shared" ca="1" si="177"/>
        <v>146.45385518200229</v>
      </c>
      <c r="K206" s="4">
        <f t="shared" ca="1" si="177"/>
        <v>143.08934267832913</v>
      </c>
      <c r="L206" s="4">
        <f t="shared" ca="1" si="177"/>
        <v>140.97691238675577</v>
      </c>
      <c r="M206" s="4">
        <f t="shared" ca="1" si="177"/>
        <v>137.20018056314976</v>
      </c>
      <c r="N206" s="4">
        <f t="shared" ca="1" si="177"/>
        <v>135.58425121975327</v>
      </c>
      <c r="O206" s="4">
        <f t="shared" ca="1" si="177"/>
        <v>134.2021109365063</v>
      </c>
      <c r="P206" s="137"/>
      <c r="Q206" s="137"/>
    </row>
    <row r="207" spans="1:17" x14ac:dyDescent="0.2">
      <c r="C207" s="17"/>
      <c r="D207" s="26" t="s">
        <v>631</v>
      </c>
      <c r="E207" s="414" t="s">
        <v>446</v>
      </c>
      <c r="F207" s="379">
        <f ca="1">F202*1000/F205</f>
        <v>283.93431044498311</v>
      </c>
      <c r="G207" s="379">
        <f t="shared" ref="G207:O207" ca="1" si="178">G202*1000/G205</f>
        <v>389.59862146029093</v>
      </c>
      <c r="H207" s="379">
        <f t="shared" ca="1" si="178"/>
        <v>489.05564409917025</v>
      </c>
      <c r="I207" s="379">
        <f t="shared" ca="1" si="178"/>
        <v>572.08483098828697</v>
      </c>
      <c r="J207" s="379">
        <f t="shared" ca="1" si="178"/>
        <v>626.28915935461839</v>
      </c>
      <c r="K207" s="4">
        <f t="shared" ca="1" si="178"/>
        <v>665.12957708053148</v>
      </c>
      <c r="L207" s="4">
        <f t="shared" ca="1" si="178"/>
        <v>676.91473873823975</v>
      </c>
      <c r="M207" s="4">
        <f t="shared" ca="1" si="178"/>
        <v>675.18962250084496</v>
      </c>
      <c r="N207" s="4">
        <f t="shared" ca="1" si="178"/>
        <v>684.63931545211915</v>
      </c>
      <c r="O207" s="4">
        <f t="shared" ca="1" si="178"/>
        <v>692.86873056309059</v>
      </c>
      <c r="P207" s="137"/>
      <c r="Q207" s="137"/>
    </row>
    <row r="208" spans="1:17" x14ac:dyDescent="0.2">
      <c r="C208" s="17"/>
      <c r="D208" s="26" t="s">
        <v>631</v>
      </c>
      <c r="E208" s="414" t="s">
        <v>546</v>
      </c>
      <c r="F208" s="379">
        <f ca="1">F202*1000/F206</f>
        <v>442.45200496867568</v>
      </c>
      <c r="G208" s="379">
        <f t="shared" ref="G208:O208" ca="1" si="179">G202*1000/G206</f>
        <v>533.93175618417956</v>
      </c>
      <c r="H208" s="379">
        <f t="shared" ca="1" si="179"/>
        <v>605.08549577809606</v>
      </c>
      <c r="I208" s="379">
        <f t="shared" ca="1" si="179"/>
        <v>654.74820121907305</v>
      </c>
      <c r="J208" s="379">
        <f t="shared" ca="1" si="179"/>
        <v>684.35905276936796</v>
      </c>
      <c r="K208" s="4">
        <f t="shared" ca="1" si="179"/>
        <v>700.92748320116937</v>
      </c>
      <c r="L208" s="4">
        <f t="shared" ca="1" si="179"/>
        <v>712.65102953151256</v>
      </c>
      <c r="M208" s="4">
        <f t="shared" ca="1" si="179"/>
        <v>727.12719516383174</v>
      </c>
      <c r="N208" s="4">
        <f t="shared" ca="1" si="179"/>
        <v>736.75827127011769</v>
      </c>
      <c r="O208" s="4">
        <f t="shared" ca="1" si="179"/>
        <v>745.13419894927051</v>
      </c>
      <c r="P208" s="137"/>
      <c r="Q208" s="137"/>
    </row>
    <row r="209" spans="3:20" s="252" customFormat="1" x14ac:dyDescent="0.2">
      <c r="C209" s="26"/>
      <c r="D209" s="26" t="s">
        <v>631</v>
      </c>
      <c r="E209" s="414" t="s">
        <v>373</v>
      </c>
      <c r="F209" s="379">
        <f ca="1">F210/F202</f>
        <v>123.2722366755241</v>
      </c>
      <c r="G209" s="379">
        <f t="shared" ref="G209:O209" ca="1" si="180">G210/G202</f>
        <v>99.813474269757805</v>
      </c>
      <c r="H209" s="379">
        <f t="shared" ca="1" si="180"/>
        <v>86.759713887301302</v>
      </c>
      <c r="I209" s="379">
        <f t="shared" ca="1" si="180"/>
        <v>79.321842721141863</v>
      </c>
      <c r="J209" s="379">
        <f t="shared" ca="1" si="180"/>
        <v>75.466991997547566</v>
      </c>
      <c r="K209" s="4">
        <f t="shared" ca="1" si="180"/>
        <v>73.241003085027501</v>
      </c>
      <c r="L209" s="4">
        <f t="shared" ca="1" si="180"/>
        <v>72.306566285937919</v>
      </c>
      <c r="M209" s="4">
        <f t="shared" ca="1" si="180"/>
        <v>71.872309955728966</v>
      </c>
      <c r="N209" s="4">
        <f t="shared" ca="1" si="180"/>
        <v>71.173057471246736</v>
      </c>
      <c r="O209" s="4">
        <f t="shared" ca="1" si="180"/>
        <v>70.580776349486243</v>
      </c>
      <c r="P209" s="137"/>
      <c r="Q209" s="137"/>
      <c r="R209" s="267"/>
      <c r="S209" s="267"/>
      <c r="T209" s="267"/>
    </row>
    <row r="210" spans="3:20" x14ac:dyDescent="0.2">
      <c r="C210" s="17"/>
      <c r="D210" s="26"/>
      <c r="E210" s="414" t="s">
        <v>536</v>
      </c>
      <c r="F210" s="30">
        <f ca="1">'Summary of Results'!F70+'Summary of Results'!F71</f>
        <v>12349.009763860206</v>
      </c>
      <c r="G210" s="30">
        <f ca="1">'Summary of Results'!G70+'Summary of Results'!G71</f>
        <v>10001.375034055814</v>
      </c>
      <c r="H210" s="30">
        <f ca="1">'Summary of Results'!H70+'Summary of Results'!H71</f>
        <v>8696.359677914741</v>
      </c>
      <c r="I210" s="30">
        <f ca="1">'Summary of Results'!I70+'Summary of Results'!I71</f>
        <v>7954.5160649458903</v>
      </c>
      <c r="J210" s="30">
        <f ca="1">'Summary of Results'!J70+'Summary of Results'!J71</f>
        <v>7563.8318375361969</v>
      </c>
      <c r="K210" s="259">
        <f ca="1">'Summary of Results'!K70+'Summary of Results'!K71</f>
        <v>7345.7249224069728</v>
      </c>
      <c r="L210" s="259">
        <f ca="1">'Summary of Results'!L70+'Summary of Results'!L71</f>
        <v>7264.4485060063098</v>
      </c>
      <c r="M210" s="259">
        <f ca="1">'Summary of Results'!M70+'Summary of Results'!M71</f>
        <v>7170.1241257994989</v>
      </c>
      <c r="N210" s="259">
        <f ca="1">'Summary of Results'!N70+'Summary of Results'!N71</f>
        <v>7109.6773149206947</v>
      </c>
      <c r="O210" s="259">
        <f ca="1">'Summary of Results'!O70+'Summary of Results'!O71</f>
        <v>7057.9775817557129</v>
      </c>
    </row>
    <row r="211" spans="3:20" x14ac:dyDescent="0.2">
      <c r="C211" s="17"/>
      <c r="D211" s="26" t="s">
        <v>423</v>
      </c>
      <c r="E211" s="414" t="s">
        <v>584</v>
      </c>
      <c r="F211" s="53">
        <f t="shared" ref="F211:O211" ca="1" si="181">F173</f>
        <v>437.81657724298555</v>
      </c>
      <c r="G211" s="53">
        <f t="shared" ca="1" si="181"/>
        <v>342.18943757999284</v>
      </c>
      <c r="H211" s="53">
        <f t="shared" ca="1" si="181"/>
        <v>289.95622206167047</v>
      </c>
      <c r="I211" s="53">
        <f t="shared" ca="1" si="181"/>
        <v>260.29137032181666</v>
      </c>
      <c r="J211" s="53">
        <f t="shared" ca="1" si="181"/>
        <v>245.03314141675344</v>
      </c>
      <c r="K211" s="20">
        <f t="shared" ca="1" si="181"/>
        <v>235.79054712415461</v>
      </c>
      <c r="L211" s="20">
        <f t="shared" ca="1" si="181"/>
        <v>233.41949215031889</v>
      </c>
      <c r="M211" s="20">
        <f t="shared" ca="1" si="181"/>
        <v>232.75402219504565</v>
      </c>
      <c r="N211" s="20">
        <f t="shared" ca="1" si="181"/>
        <v>230.90575838337881</v>
      </c>
      <c r="O211" s="20">
        <f t="shared" ca="1" si="181"/>
        <v>229.32543715561599</v>
      </c>
    </row>
    <row r="212" spans="3:20" x14ac:dyDescent="0.2">
      <c r="C212" s="17"/>
      <c r="D212" s="26" t="s">
        <v>423</v>
      </c>
      <c r="E212" s="414" t="s">
        <v>422</v>
      </c>
      <c r="F212" s="394">
        <f ca="1">F172</f>
        <v>315.41265142450527</v>
      </c>
      <c r="G212" s="394">
        <f t="shared" ref="G212:O212" ca="1" si="182">G172</f>
        <v>276.6656504782768</v>
      </c>
      <c r="H212" s="394">
        <f t="shared" ca="1" si="182"/>
        <v>254.65427182089022</v>
      </c>
      <c r="I212" s="394">
        <f t="shared" ca="1" si="182"/>
        <v>242.16045737513738</v>
      </c>
      <c r="J212" s="394">
        <f t="shared" ca="1" si="182"/>
        <v>235.45385518200229</v>
      </c>
      <c r="K212" s="6">
        <f t="shared" ca="1" si="182"/>
        <v>232.08934267832913</v>
      </c>
      <c r="L212" s="6">
        <f t="shared" ca="1" si="182"/>
        <v>229.97691238675577</v>
      </c>
      <c r="M212" s="6">
        <f t="shared" ca="1" si="182"/>
        <v>226.20018056314976</v>
      </c>
      <c r="N212" s="6">
        <f t="shared" ca="1" si="182"/>
        <v>224.58425121975327</v>
      </c>
      <c r="O212" s="6">
        <f t="shared" ca="1" si="182"/>
        <v>223.2021109365063</v>
      </c>
    </row>
    <row r="213" spans="3:20" x14ac:dyDescent="0.2">
      <c r="C213" s="17"/>
      <c r="D213" s="26" t="s">
        <v>423</v>
      </c>
      <c r="E213" s="414" t="s">
        <v>446</v>
      </c>
      <c r="F213" s="379">
        <f ca="1">F202/F211*1000</f>
        <v>228.80981849494646</v>
      </c>
      <c r="G213" s="379">
        <f t="shared" ref="G213:O213" ca="1" si="183">G202/G211*1000</f>
        <v>292.82216027456741</v>
      </c>
      <c r="H213" s="379">
        <f t="shared" ca="1" si="183"/>
        <v>345.69010618155994</v>
      </c>
      <c r="I213" s="379">
        <f t="shared" ca="1" si="183"/>
        <v>385.26645674144538</v>
      </c>
      <c r="J213" s="379">
        <f t="shared" ca="1" si="183"/>
        <v>409.0345535598824</v>
      </c>
      <c r="K213" s="4">
        <f t="shared" ca="1" si="183"/>
        <v>425.35739477130448</v>
      </c>
      <c r="L213" s="4">
        <f t="shared" ca="1" si="183"/>
        <v>430.41539002190865</v>
      </c>
      <c r="M213" s="4">
        <f t="shared" ca="1" si="183"/>
        <v>428.61550373232541</v>
      </c>
      <c r="N213" s="4">
        <f t="shared" ca="1" si="183"/>
        <v>432.6129380206454</v>
      </c>
      <c r="O213" s="4">
        <f t="shared" ca="1" si="183"/>
        <v>436.05534418808315</v>
      </c>
    </row>
    <row r="214" spans="3:20" x14ac:dyDescent="0.2">
      <c r="C214" s="17"/>
      <c r="D214" s="26" t="s">
        <v>423</v>
      </c>
      <c r="E214" s="414" t="s">
        <v>546</v>
      </c>
      <c r="F214" s="379">
        <f ca="1">F202*1000/F212</f>
        <v>317.60530568642633</v>
      </c>
      <c r="G214" s="379">
        <f t="shared" ref="G214:O214" ca="1" si="184">G202*1000/G212</f>
        <v>362.17235555658647</v>
      </c>
      <c r="H214" s="379">
        <f t="shared" ca="1" si="184"/>
        <v>393.61207835147809</v>
      </c>
      <c r="I214" s="379">
        <f t="shared" ca="1" si="184"/>
        <v>414.1119283108755</v>
      </c>
      <c r="J214" s="379">
        <f t="shared" ca="1" si="184"/>
        <v>425.67585707740182</v>
      </c>
      <c r="K214" s="4">
        <f t="shared" ca="1" si="184"/>
        <v>432.14070788005972</v>
      </c>
      <c r="L214" s="4">
        <f t="shared" ca="1" si="184"/>
        <v>436.8583816084888</v>
      </c>
      <c r="M214" s="4">
        <f t="shared" ca="1" si="184"/>
        <v>441.03405320228359</v>
      </c>
      <c r="N214" s="4">
        <f t="shared" ca="1" si="184"/>
        <v>444.78995298016122</v>
      </c>
      <c r="O214" s="4">
        <f t="shared" ca="1" si="184"/>
        <v>448.01808553872092</v>
      </c>
    </row>
    <row r="215" spans="3:20" x14ac:dyDescent="0.2">
      <c r="C215" s="26" t="s">
        <v>892</v>
      </c>
      <c r="D215" s="26" t="s">
        <v>423</v>
      </c>
      <c r="E215" s="414" t="s">
        <v>373</v>
      </c>
      <c r="F215" s="379">
        <f ca="1">'Summary of Results'!F73/F202</f>
        <v>137.6967440168676</v>
      </c>
      <c r="G215" s="379">
        <f ca="1">'Summary of Results'!G73/G202</f>
        <v>114.23453835630326</v>
      </c>
      <c r="H215" s="379">
        <f ca="1">'Summary of Results'!H73/H202</f>
        <v>101.17583640410651</v>
      </c>
      <c r="I215" s="379">
        <f ca="1">'Summary of Results'!I73/I202</f>
        <v>93.731275274425755</v>
      </c>
      <c r="J215" s="379">
        <f ca="1">'Summary of Results'!J73/J202</f>
        <v>89.884261680255563</v>
      </c>
      <c r="K215" s="4">
        <f ca="1">'Summary of Results'!K73/K202</f>
        <v>87.648464646113936</v>
      </c>
      <c r="L215" s="4">
        <f ca="1">'Summary of Results'!L73/L202</f>
        <v>86.689349534634417</v>
      </c>
      <c r="M215" s="4">
        <f ca="1">'Summary of Results'!M73/M202</f>
        <v>86.356785546930539</v>
      </c>
      <c r="N215" s="4">
        <f ca="1">'Summary of Results'!N73/N202</f>
        <v>85.638561809976167</v>
      </c>
      <c r="O215" s="4">
        <f ca="1">'Summary of Results'!O73/O202</f>
        <v>85.030981191258661</v>
      </c>
      <c r="P215" s="137"/>
    </row>
    <row r="216" spans="3:20" x14ac:dyDescent="0.2">
      <c r="C216" s="26" t="s">
        <v>841</v>
      </c>
      <c r="D216" s="76" t="s">
        <v>423</v>
      </c>
      <c r="E216" s="450" t="s">
        <v>373</v>
      </c>
      <c r="F216" s="379">
        <f ca="1">45000*F219/1000/F202+F215</f>
        <v>170.98124749299632</v>
      </c>
      <c r="G216" s="379">
        <f t="shared" ref="G216:O216" ca="1" si="185">45000*G219/1000/G202+G215</f>
        <v>147.51109653344301</v>
      </c>
      <c r="H216" s="379">
        <f t="shared" ca="1" si="185"/>
        <v>134.44099192525283</v>
      </c>
      <c r="I216" s="379">
        <f t="shared" ca="1" si="185"/>
        <v>126.98099372666402</v>
      </c>
      <c r="J216" s="379">
        <f t="shared" ca="1" si="185"/>
        <v>123.15206428295014</v>
      </c>
      <c r="K216" s="379">
        <f t="shared" ca="1" si="185"/>
        <v>120.32630934172487</v>
      </c>
      <c r="L216" s="379">
        <f t="shared" ca="1" si="185"/>
        <v>118.07100396631763</v>
      </c>
      <c r="M216" s="379">
        <f t="shared" ca="1" si="185"/>
        <v>117.43023173235029</v>
      </c>
      <c r="N216" s="379">
        <f t="shared" ca="1" si="185"/>
        <v>115.83002881232133</v>
      </c>
      <c r="O216" s="379">
        <f t="shared" ca="1" si="185"/>
        <v>114.47297790717616</v>
      </c>
      <c r="P216" s="137"/>
    </row>
    <row r="217" spans="3:20" x14ac:dyDescent="0.2">
      <c r="C217" s="17"/>
      <c r="D217" s="26" t="s">
        <v>423</v>
      </c>
      <c r="E217" s="414" t="s">
        <v>860</v>
      </c>
      <c r="F217" s="439">
        <f t="shared" ref="F217:O217" ca="1" si="186">F211-F67/1000*(F12-F13)</f>
        <v>408.71474011286767</v>
      </c>
      <c r="G217" s="439">
        <f t="shared" ca="1" si="186"/>
        <v>313.16832157433146</v>
      </c>
      <c r="H217" s="439">
        <f t="shared" ca="1" si="186"/>
        <v>261.05101995250328</v>
      </c>
      <c r="I217" s="439">
        <f t="shared" ca="1" si="186"/>
        <v>231.54322067643153</v>
      </c>
      <c r="J217" s="439">
        <f t="shared" ca="1" si="186"/>
        <v>216.10102327234981</v>
      </c>
      <c r="K217" s="39">
        <f t="shared" ca="1" si="186"/>
        <v>207.0886959776291</v>
      </c>
      <c r="L217" s="39">
        <f t="shared" ca="1" si="186"/>
        <v>205.24652337317531</v>
      </c>
      <c r="M217" s="39">
        <f t="shared" ca="1" si="186"/>
        <v>205.24830736278477</v>
      </c>
      <c r="N217" s="39">
        <f t="shared" ca="1" si="186"/>
        <v>203.8019993201936</v>
      </c>
      <c r="O217" s="39">
        <f t="shared" ca="1" si="186"/>
        <v>202.56508235779424</v>
      </c>
    </row>
    <row r="218" spans="3:20" x14ac:dyDescent="0.2">
      <c r="C218" s="17"/>
      <c r="D218" s="26" t="s">
        <v>423</v>
      </c>
      <c r="E218" s="414" t="s">
        <v>859</v>
      </c>
      <c r="F218" s="439">
        <f ca="1">F202*1000/F217</f>
        <v>245.10183201462749</v>
      </c>
      <c r="G218" s="439">
        <f t="shared" ref="G218:O218" ca="1" si="187">G202*1000/G217</f>
        <v>319.95781000962393</v>
      </c>
      <c r="H218" s="439">
        <f t="shared" ca="1" si="187"/>
        <v>383.96707743467164</v>
      </c>
      <c r="I218" s="439">
        <f t="shared" ca="1" si="187"/>
        <v>433.10071299560724</v>
      </c>
      <c r="J218" s="439">
        <f t="shared" ca="1" si="187"/>
        <v>463.79707087486685</v>
      </c>
      <c r="K218" s="39">
        <f t="shared" ca="1" si="187"/>
        <v>484.31061078903781</v>
      </c>
      <c r="L218" s="39">
        <f t="shared" ca="1" si="187"/>
        <v>489.49594907353213</v>
      </c>
      <c r="M218" s="39">
        <f t="shared" ca="1" si="187"/>
        <v>486.0550800670963</v>
      </c>
      <c r="N218" s="39">
        <f t="shared" ca="1" si="187"/>
        <v>490.14641109176273</v>
      </c>
      <c r="O218" s="39">
        <f t="shared" ca="1" si="187"/>
        <v>493.66150012639156</v>
      </c>
    </row>
    <row r="219" spans="3:20" x14ac:dyDescent="0.2">
      <c r="C219" s="26" t="s">
        <v>842</v>
      </c>
      <c r="D219" s="17">
        <f>1</f>
        <v>1</v>
      </c>
      <c r="E219" s="442" t="s">
        <v>843</v>
      </c>
      <c r="F219" s="439">
        <f t="shared" ref="F219:O219" ca="1" si="188">F141*F67/F63/$D$219/1000</f>
        <v>74.09628378378379</v>
      </c>
      <c r="G219" s="439">
        <f t="shared" ca="1" si="188"/>
        <v>74.09628378378379</v>
      </c>
      <c r="H219" s="439">
        <f t="shared" ca="1" si="188"/>
        <v>74.09628378378379</v>
      </c>
      <c r="I219" s="439">
        <f t="shared" ca="1" si="188"/>
        <v>74.09628378378379</v>
      </c>
      <c r="J219" s="439">
        <f t="shared" ca="1" si="188"/>
        <v>74.09628378378379</v>
      </c>
      <c r="K219" s="439">
        <f t="shared" ca="1" si="188"/>
        <v>72.831837687145168</v>
      </c>
      <c r="L219" s="439">
        <f t="shared" ca="1" si="188"/>
        <v>70.062920012732832</v>
      </c>
      <c r="M219" s="439">
        <f t="shared" ca="1" si="188"/>
        <v>68.887746524371877</v>
      </c>
      <c r="N219" s="439">
        <f t="shared" ca="1" si="188"/>
        <v>67.020238549449971</v>
      </c>
      <c r="O219" s="439">
        <f t="shared" ca="1" si="188"/>
        <v>65.425731899993821</v>
      </c>
    </row>
    <row r="220" spans="3:20" x14ac:dyDescent="0.2">
      <c r="C220" s="17"/>
      <c r="D220" s="17"/>
      <c r="E220" s="440"/>
      <c r="F220" s="439"/>
      <c r="G220" s="439"/>
      <c r="H220" s="439"/>
      <c r="I220" s="439"/>
      <c r="J220" s="439"/>
      <c r="K220" s="439"/>
      <c r="L220" s="439"/>
      <c r="M220" s="439"/>
      <c r="N220" s="439"/>
      <c r="O220" s="439"/>
    </row>
    <row r="221" spans="3:20" x14ac:dyDescent="0.2">
      <c r="C221" s="17"/>
      <c r="D221" s="17"/>
      <c r="E221" s="440"/>
      <c r="F221" s="439"/>
      <c r="G221" s="439"/>
      <c r="H221" s="439"/>
      <c r="I221" s="439"/>
      <c r="J221" s="439"/>
      <c r="K221" s="439"/>
      <c r="L221" s="439"/>
      <c r="M221" s="439"/>
      <c r="N221" s="439"/>
      <c r="O221" s="439"/>
    </row>
    <row r="222" spans="3:20" x14ac:dyDescent="0.2">
      <c r="C222" s="17"/>
      <c r="D222" s="26"/>
      <c r="E222" s="440"/>
      <c r="F222" s="439"/>
      <c r="G222" s="439"/>
      <c r="H222" s="439"/>
      <c r="I222" s="439"/>
      <c r="J222" s="439"/>
      <c r="K222" s="439"/>
      <c r="L222" s="439"/>
      <c r="M222" s="439"/>
      <c r="N222" s="439"/>
      <c r="O222" s="439"/>
    </row>
    <row r="223" spans="3:20" x14ac:dyDescent="0.2">
      <c r="C223" s="17"/>
      <c r="D223" s="17"/>
      <c r="E223" s="440"/>
      <c r="F223" s="439"/>
      <c r="G223" s="439"/>
      <c r="H223" s="439"/>
      <c r="I223" s="439"/>
      <c r="J223" s="439"/>
      <c r="K223" s="439"/>
      <c r="L223" s="439"/>
      <c r="M223" s="439"/>
      <c r="N223" s="439"/>
      <c r="O223" s="439"/>
    </row>
    <row r="224" spans="3:20" x14ac:dyDescent="0.2">
      <c r="C224" s="17"/>
      <c r="D224" s="17"/>
      <c r="E224" s="414"/>
      <c r="F224" s="394"/>
      <c r="G224" s="394"/>
      <c r="H224" s="394"/>
      <c r="I224" s="394"/>
      <c r="J224" s="394"/>
      <c r="K224" s="6"/>
      <c r="L224" s="6"/>
      <c r="M224" s="6"/>
      <c r="N224" s="6"/>
      <c r="O224" s="6"/>
    </row>
    <row r="225" spans="3:16" x14ac:dyDescent="0.2">
      <c r="C225" s="17"/>
      <c r="D225" s="17"/>
      <c r="E225" s="414"/>
      <c r="F225" s="394"/>
      <c r="G225" s="394"/>
      <c r="H225" s="394"/>
      <c r="I225" s="394"/>
      <c r="J225" s="394"/>
      <c r="K225" s="6"/>
      <c r="L225" s="6"/>
      <c r="M225" s="6"/>
      <c r="N225" s="6"/>
      <c r="O225" s="6"/>
    </row>
    <row r="226" spans="3:16" x14ac:dyDescent="0.2">
      <c r="C226" s="17"/>
      <c r="D226" s="17"/>
      <c r="E226" s="414"/>
      <c r="F226" s="394"/>
      <c r="G226" s="394"/>
      <c r="H226" s="394"/>
      <c r="I226" s="394"/>
      <c r="J226" s="394"/>
      <c r="K226" s="6"/>
      <c r="L226" s="6"/>
      <c r="M226" s="6"/>
      <c r="N226" s="6"/>
      <c r="O226" s="6"/>
    </row>
    <row r="227" spans="3:16" x14ac:dyDescent="0.2">
      <c r="C227" s="17"/>
      <c r="D227" s="26"/>
      <c r="E227" s="414"/>
      <c r="F227" s="394"/>
      <c r="G227" s="394"/>
      <c r="H227" s="394"/>
      <c r="I227" s="394"/>
      <c r="J227" s="394"/>
      <c r="K227" s="394"/>
      <c r="L227" s="394"/>
      <c r="M227" s="394"/>
      <c r="N227" s="394"/>
      <c r="O227" s="394"/>
    </row>
    <row r="228" spans="3:16" x14ac:dyDescent="0.2">
      <c r="C228" s="17"/>
      <c r="D228" s="26"/>
      <c r="E228" s="414"/>
      <c r="F228" s="394"/>
      <c r="G228" s="394"/>
      <c r="H228" s="394"/>
      <c r="I228" s="394"/>
      <c r="J228" s="394"/>
      <c r="K228" s="394"/>
      <c r="L228" s="394"/>
      <c r="M228" s="394"/>
      <c r="N228" s="394"/>
      <c r="O228" s="394"/>
    </row>
    <row r="229" spans="3:16" x14ac:dyDescent="0.2">
      <c r="C229" s="17"/>
      <c r="D229" s="26"/>
      <c r="E229" s="414"/>
      <c r="F229" s="394"/>
      <c r="G229" s="394"/>
      <c r="H229" s="394"/>
      <c r="I229" s="394"/>
      <c r="J229" s="394"/>
      <c r="K229" s="6"/>
      <c r="L229" s="6"/>
      <c r="M229" s="6"/>
      <c r="N229" s="6"/>
      <c r="O229" s="6"/>
    </row>
    <row r="230" spans="3:16" x14ac:dyDescent="0.2">
      <c r="C230" s="17"/>
      <c r="D230" s="17"/>
      <c r="E230" s="414"/>
      <c r="F230" s="394"/>
      <c r="G230" s="394"/>
      <c r="H230" s="394"/>
      <c r="I230" s="394"/>
      <c r="J230" s="394"/>
      <c r="K230" s="6"/>
      <c r="L230" s="6"/>
      <c r="M230" s="6"/>
      <c r="N230" s="6"/>
      <c r="O230" s="6"/>
    </row>
    <row r="231" spans="3:16" x14ac:dyDescent="0.2">
      <c r="C231" s="17"/>
      <c r="D231" s="17"/>
      <c r="E231" s="414"/>
      <c r="F231" s="394"/>
      <c r="G231" s="394"/>
      <c r="H231" s="394"/>
      <c r="I231" s="394"/>
      <c r="J231" s="394"/>
      <c r="K231" s="6"/>
      <c r="L231" s="6"/>
      <c r="M231" s="6"/>
      <c r="N231" s="6"/>
      <c r="O231" s="6"/>
    </row>
    <row r="232" spans="3:16" x14ac:dyDescent="0.2">
      <c r="C232" s="17"/>
      <c r="D232" s="17"/>
      <c r="E232" s="414"/>
      <c r="F232" s="394"/>
      <c r="G232" s="394"/>
      <c r="H232" s="394"/>
      <c r="I232" s="394"/>
      <c r="J232" s="394"/>
      <c r="K232" s="6"/>
      <c r="L232" s="6"/>
      <c r="M232" s="6"/>
      <c r="N232" s="6"/>
      <c r="O232" s="6"/>
    </row>
    <row r="233" spans="3:16" x14ac:dyDescent="0.2">
      <c r="C233" s="17"/>
      <c r="D233" s="17"/>
      <c r="E233" s="414"/>
      <c r="F233" s="53"/>
      <c r="G233" s="53"/>
      <c r="H233" s="53"/>
      <c r="I233" s="53"/>
      <c r="J233" s="53"/>
      <c r="K233" s="53"/>
      <c r="L233" s="53"/>
      <c r="M233" s="53"/>
      <c r="N233" s="53"/>
      <c r="O233" s="53"/>
      <c r="P233" s="482"/>
    </row>
    <row r="234" spans="3:16" x14ac:dyDescent="0.2">
      <c r="C234" s="17"/>
      <c r="D234" s="17"/>
      <c r="E234" s="414"/>
      <c r="F234" s="394"/>
      <c r="G234" s="394"/>
      <c r="H234" s="394"/>
      <c r="I234" s="394"/>
      <c r="J234" s="394"/>
      <c r="K234" s="6"/>
      <c r="L234" s="6"/>
      <c r="M234" s="6"/>
      <c r="N234" s="6"/>
      <c r="O234" s="6"/>
    </row>
    <row r="235" spans="3:16" x14ac:dyDescent="0.2">
      <c r="C235" s="17"/>
      <c r="D235" s="17"/>
      <c r="E235" s="414"/>
      <c r="F235" s="53"/>
      <c r="G235" s="53"/>
      <c r="H235" s="53"/>
      <c r="I235" s="53"/>
      <c r="J235" s="53"/>
      <c r="K235" s="53"/>
      <c r="L235" s="53"/>
      <c r="M235" s="53"/>
      <c r="N235" s="53"/>
      <c r="O235" s="53"/>
      <c r="P235" s="482"/>
    </row>
    <row r="236" spans="3:16" x14ac:dyDescent="0.2">
      <c r="C236" s="17"/>
      <c r="D236" s="17"/>
      <c r="E236" s="414"/>
      <c r="F236" s="394"/>
      <c r="G236" s="394"/>
      <c r="H236" s="394"/>
      <c r="I236" s="394"/>
      <c r="J236" s="394"/>
      <c r="K236" s="6"/>
      <c r="L236" s="6"/>
      <c r="M236" s="6"/>
      <c r="N236" s="6"/>
      <c r="O236" s="6"/>
    </row>
    <row r="237" spans="3:16" x14ac:dyDescent="0.2">
      <c r="C237" s="17"/>
      <c r="D237" s="17"/>
      <c r="E237" s="414"/>
      <c r="F237" s="394"/>
      <c r="G237" s="394"/>
      <c r="H237" s="394"/>
      <c r="I237" s="394"/>
      <c r="J237" s="394"/>
      <c r="K237" s="6"/>
      <c r="L237" s="6"/>
      <c r="M237" s="6"/>
      <c r="N237" s="6"/>
      <c r="O237" s="6"/>
    </row>
    <row r="238" spans="3:16" x14ac:dyDescent="0.2">
      <c r="C238" s="17"/>
      <c r="D238" s="17"/>
      <c r="E238" s="414"/>
      <c r="F238" s="394"/>
      <c r="G238" s="394"/>
      <c r="H238" s="394"/>
      <c r="I238" s="394"/>
      <c r="J238" s="394"/>
      <c r="K238" s="6"/>
      <c r="L238" s="6"/>
      <c r="M238" s="6"/>
      <c r="N238" s="6"/>
      <c r="O238" s="6"/>
    </row>
    <row r="239" spans="3:16" x14ac:dyDescent="0.2">
      <c r="C239" s="17"/>
      <c r="D239" s="17"/>
      <c r="E239" s="414"/>
      <c r="F239" s="394"/>
      <c r="G239" s="394"/>
      <c r="H239" s="394"/>
      <c r="I239" s="394"/>
      <c r="J239" s="394"/>
      <c r="K239" s="6"/>
      <c r="L239" s="6"/>
      <c r="M239" s="6"/>
      <c r="N239" s="6"/>
      <c r="O239" s="6"/>
    </row>
    <row r="240" spans="3:16" x14ac:dyDescent="0.2">
      <c r="C240" s="17"/>
      <c r="D240" s="17"/>
      <c r="E240" s="414"/>
      <c r="F240" s="21"/>
      <c r="G240" s="21"/>
      <c r="H240" s="21"/>
      <c r="I240" s="21"/>
      <c r="J240" s="21"/>
      <c r="K240" s="66"/>
      <c r="L240" s="66"/>
      <c r="M240" s="66"/>
      <c r="N240" s="66"/>
      <c r="O240" s="66"/>
    </row>
    <row r="241" spans="3:15" x14ac:dyDescent="0.2">
      <c r="C241" s="17"/>
      <c r="D241" s="17"/>
      <c r="E241" s="414"/>
      <c r="F241" s="394"/>
      <c r="G241" s="394"/>
      <c r="H241" s="394"/>
      <c r="I241" s="394"/>
      <c r="J241" s="394"/>
      <c r="K241" s="6"/>
      <c r="L241" s="6"/>
      <c r="M241" s="6"/>
      <c r="N241" s="6"/>
      <c r="O241" s="6"/>
    </row>
    <row r="242" spans="3:15" x14ac:dyDescent="0.2">
      <c r="C242" s="17"/>
      <c r="D242" s="17"/>
      <c r="E242" s="414"/>
      <c r="F242" s="34"/>
      <c r="G242" s="34"/>
      <c r="H242" s="34"/>
      <c r="I242" s="34"/>
      <c r="J242" s="34"/>
      <c r="K242" s="34"/>
      <c r="L242" s="6"/>
      <c r="M242" s="6"/>
      <c r="N242" s="6"/>
      <c r="O242" s="6"/>
    </row>
    <row r="243" spans="3:15" x14ac:dyDescent="0.2">
      <c r="C243" s="17"/>
      <c r="D243" s="26"/>
      <c r="E243" s="414"/>
      <c r="F243" s="394"/>
      <c r="G243" s="394"/>
      <c r="H243" s="394"/>
      <c r="I243" s="394"/>
      <c r="J243" s="394"/>
      <c r="K243" s="6"/>
      <c r="L243" s="6"/>
      <c r="M243" s="6"/>
      <c r="N243" s="6"/>
      <c r="O243" s="6"/>
    </row>
    <row r="244" spans="3:15" x14ac:dyDescent="0.2">
      <c r="C244" s="17"/>
      <c r="D244" s="17"/>
      <c r="E244" s="440"/>
      <c r="F244" s="379"/>
      <c r="G244" s="379"/>
      <c r="H244" s="379"/>
      <c r="I244" s="379"/>
      <c r="J244" s="379"/>
      <c r="K244" s="4"/>
      <c r="L244" s="4"/>
      <c r="M244" s="4"/>
      <c r="N244" s="4"/>
      <c r="O244" s="4"/>
    </row>
    <row r="245" spans="3:15" x14ac:dyDescent="0.2">
      <c r="C245" s="17"/>
      <c r="D245" s="17"/>
      <c r="E245" s="414"/>
      <c r="F245" s="394"/>
      <c r="G245" s="394"/>
      <c r="H245" s="394"/>
      <c r="I245" s="394"/>
      <c r="J245" s="394"/>
      <c r="K245" s="6"/>
      <c r="L245" s="6"/>
      <c r="M245" s="6"/>
      <c r="N245" s="6"/>
      <c r="O245" s="6"/>
    </row>
    <row r="246" spans="3:15" x14ac:dyDescent="0.2">
      <c r="C246" s="17"/>
      <c r="D246" s="17"/>
      <c r="E246" s="414"/>
      <c r="F246" s="394"/>
      <c r="G246" s="394"/>
      <c r="H246" s="394"/>
      <c r="I246" s="394"/>
      <c r="J246" s="394"/>
      <c r="K246" s="6"/>
      <c r="L246" s="6"/>
      <c r="M246" s="6"/>
      <c r="N246" s="6"/>
      <c r="O246" s="6"/>
    </row>
    <row r="247" spans="3:15" x14ac:dyDescent="0.2">
      <c r="C247" s="17"/>
      <c r="D247" s="17"/>
      <c r="E247" s="17"/>
      <c r="F247" s="439"/>
      <c r="G247" s="17"/>
      <c r="H247" s="17"/>
      <c r="I247" s="439"/>
      <c r="J247" s="439"/>
    </row>
    <row r="248" spans="3:15" x14ac:dyDescent="0.2">
      <c r="C248" s="17"/>
      <c r="D248" s="26"/>
      <c r="E248" s="26"/>
      <c r="F248" s="439"/>
      <c r="G248" s="439"/>
      <c r="H248" s="439"/>
      <c r="I248" s="439"/>
      <c r="J248" s="439"/>
      <c r="K248" s="39"/>
      <c r="L248" s="39"/>
      <c r="M248" s="39"/>
      <c r="N248" s="39"/>
      <c r="O248" s="39"/>
    </row>
    <row r="249" spans="3:15" x14ac:dyDescent="0.2">
      <c r="C249" s="17"/>
      <c r="D249" s="17"/>
      <c r="E249" s="26"/>
      <c r="F249" s="439"/>
      <c r="G249" s="439"/>
      <c r="H249" s="439"/>
      <c r="I249" s="439"/>
      <c r="J249" s="439"/>
      <c r="K249" s="39"/>
      <c r="L249" s="39"/>
      <c r="M249" s="39"/>
      <c r="N249" s="39"/>
      <c r="O249" s="39"/>
    </row>
    <row r="250" spans="3:15" x14ac:dyDescent="0.2">
      <c r="C250" s="17"/>
      <c r="D250" s="17"/>
      <c r="E250" s="17"/>
      <c r="F250" s="17"/>
      <c r="G250" s="17"/>
      <c r="H250" s="17"/>
      <c r="I250" s="17"/>
      <c r="J250" s="17"/>
    </row>
    <row r="251" spans="3:15" x14ac:dyDescent="0.2">
      <c r="C251" s="17"/>
      <c r="D251" s="494"/>
      <c r="E251" s="494"/>
      <c r="F251" s="439"/>
      <c r="G251" s="439"/>
      <c r="H251" s="439"/>
      <c r="I251" s="439"/>
      <c r="J251" s="439"/>
      <c r="K251" s="39"/>
      <c r="L251" s="39"/>
      <c r="M251" s="39"/>
      <c r="N251" s="39"/>
      <c r="O251" s="39"/>
    </row>
    <row r="252" spans="3:15" x14ac:dyDescent="0.2">
      <c r="C252" s="17"/>
      <c r="D252" s="17"/>
      <c r="E252" s="494"/>
      <c r="F252" s="439"/>
      <c r="G252" s="439"/>
      <c r="H252" s="439"/>
      <c r="I252" s="439"/>
      <c r="J252" s="439"/>
      <c r="K252" s="39"/>
      <c r="L252" s="39"/>
      <c r="M252" s="39"/>
      <c r="N252" s="39"/>
      <c r="O252" s="39"/>
    </row>
    <row r="253" spans="3:15" x14ac:dyDescent="0.2">
      <c r="C253" s="17"/>
      <c r="D253" s="17"/>
      <c r="E253" s="494"/>
      <c r="F253" s="439"/>
      <c r="G253" s="439"/>
      <c r="H253" s="439"/>
      <c r="I253" s="439"/>
      <c r="J253" s="439"/>
      <c r="K253" s="39"/>
      <c r="L253" s="39"/>
      <c r="M253" s="39"/>
      <c r="N253" s="39"/>
      <c r="O253" s="39"/>
    </row>
    <row r="254" spans="3:15" x14ac:dyDescent="0.2">
      <c r="C254" s="17"/>
      <c r="D254" s="17"/>
      <c r="E254" s="494"/>
      <c r="F254" s="438"/>
      <c r="G254" s="438"/>
      <c r="H254" s="438"/>
      <c r="I254" s="438"/>
      <c r="J254" s="438"/>
      <c r="K254" s="89"/>
      <c r="L254" s="89"/>
      <c r="M254" s="89"/>
      <c r="N254" s="89"/>
      <c r="O254" s="89"/>
    </row>
    <row r="255" spans="3:15" x14ac:dyDescent="0.2">
      <c r="C255" s="17"/>
      <c r="D255" s="17"/>
      <c r="E255" s="494"/>
      <c r="F255" s="438"/>
      <c r="G255" s="438"/>
      <c r="H255" s="438"/>
      <c r="I255" s="438"/>
      <c r="J255" s="438"/>
      <c r="K255" s="89"/>
      <c r="L255" s="89"/>
      <c r="M255" s="89"/>
      <c r="N255" s="89"/>
      <c r="O255" s="89"/>
    </row>
    <row r="256" spans="3:15" x14ac:dyDescent="0.2">
      <c r="C256" s="17"/>
      <c r="D256" s="17"/>
      <c r="E256" s="494"/>
      <c r="F256" s="438"/>
      <c r="G256" s="438"/>
      <c r="H256" s="438"/>
      <c r="I256" s="438"/>
      <c r="J256" s="438"/>
      <c r="K256" s="89"/>
      <c r="L256" s="89"/>
      <c r="M256" s="89"/>
      <c r="N256" s="89"/>
      <c r="O256" s="89"/>
    </row>
    <row r="257" spans="3:18" x14ac:dyDescent="0.2">
      <c r="E257" s="366"/>
      <c r="F257" s="178"/>
      <c r="G257" s="178"/>
      <c r="H257" s="178"/>
      <c r="I257" s="178"/>
      <c r="J257" s="178"/>
      <c r="K257" s="178"/>
      <c r="L257" s="178"/>
      <c r="M257" s="178"/>
      <c r="N257" s="178"/>
      <c r="O257" s="178"/>
    </row>
    <row r="258" spans="3:18" x14ac:dyDescent="0.2">
      <c r="E258" s="366"/>
      <c r="F258" s="136"/>
      <c r="G258" s="136"/>
      <c r="H258" s="136"/>
      <c r="I258" s="136"/>
      <c r="J258" s="136"/>
      <c r="K258" s="136"/>
      <c r="L258" s="136"/>
      <c r="M258" s="136"/>
      <c r="N258" s="136"/>
      <c r="O258" s="136"/>
    </row>
    <row r="259" spans="3:18" x14ac:dyDescent="0.2">
      <c r="C259" s="39"/>
      <c r="E259" s="366"/>
    </row>
    <row r="260" spans="3:18" x14ac:dyDescent="0.2">
      <c r="C260" s="443"/>
      <c r="D260" s="39"/>
      <c r="E260" s="366"/>
      <c r="F260" s="39"/>
      <c r="G260" s="39"/>
      <c r="H260" s="39"/>
      <c r="I260" s="39"/>
      <c r="J260" s="39"/>
      <c r="K260" s="39"/>
      <c r="L260" s="39"/>
      <c r="M260" s="39"/>
      <c r="N260" s="39"/>
      <c r="O260" s="39"/>
      <c r="P260" s="39"/>
    </row>
    <row r="261" spans="3:18" x14ac:dyDescent="0.2">
      <c r="C261" s="443"/>
      <c r="D261" s="39"/>
      <c r="E261" s="366"/>
      <c r="F261" s="39"/>
      <c r="G261" s="39"/>
      <c r="H261" s="39"/>
      <c r="I261" s="39"/>
      <c r="J261" s="39"/>
      <c r="K261" s="39"/>
      <c r="L261" s="39"/>
      <c r="M261" s="39"/>
      <c r="N261" s="39"/>
      <c r="O261" s="39"/>
    </row>
    <row r="262" spans="3:18" x14ac:dyDescent="0.2">
      <c r="C262" s="443"/>
      <c r="D262" s="39"/>
      <c r="E262" s="366"/>
      <c r="F262" s="39"/>
      <c r="G262" s="39"/>
      <c r="H262" s="39"/>
      <c r="I262" s="39"/>
      <c r="J262" s="39"/>
      <c r="K262" s="39"/>
      <c r="L262" s="39"/>
      <c r="M262" s="39"/>
      <c r="N262" s="39"/>
      <c r="O262" s="39"/>
    </row>
    <row r="263" spans="3:18" x14ac:dyDescent="0.2">
      <c r="C263" s="443"/>
      <c r="D263" s="39"/>
      <c r="E263" s="366"/>
      <c r="F263" s="39"/>
      <c r="G263" s="39"/>
      <c r="H263" s="39"/>
      <c r="I263" s="39"/>
      <c r="J263" s="39"/>
      <c r="K263" s="39"/>
      <c r="L263" s="39"/>
      <c r="M263" s="39"/>
      <c r="N263" s="39"/>
      <c r="O263" s="39"/>
    </row>
    <row r="264" spans="3:18" x14ac:dyDescent="0.2">
      <c r="C264" s="443"/>
      <c r="D264" s="39"/>
      <c r="E264" s="366"/>
      <c r="F264" s="39"/>
      <c r="G264" s="39"/>
      <c r="H264" s="39"/>
      <c r="I264" s="39"/>
      <c r="J264" s="39"/>
      <c r="K264" s="39"/>
      <c r="L264" s="39"/>
      <c r="M264" s="39"/>
      <c r="N264" s="39"/>
      <c r="O264" s="39"/>
    </row>
    <row r="265" spans="3:18" x14ac:dyDescent="0.2">
      <c r="C265" s="443"/>
      <c r="D265" s="39"/>
      <c r="E265" s="366"/>
      <c r="F265" s="39"/>
      <c r="G265" s="39"/>
      <c r="H265" s="39"/>
      <c r="I265" s="39"/>
      <c r="J265" s="39"/>
      <c r="K265" s="39"/>
      <c r="L265" s="39"/>
      <c r="M265" s="39"/>
      <c r="N265" s="39"/>
      <c r="O265" s="39"/>
    </row>
    <row r="266" spans="3:18" x14ac:dyDescent="0.2">
      <c r="C266" s="443"/>
      <c r="D266" s="39"/>
      <c r="E266" s="366"/>
      <c r="F266" s="39"/>
      <c r="G266" s="39"/>
      <c r="H266" s="39"/>
      <c r="I266" s="39"/>
      <c r="J266" s="39"/>
      <c r="K266" s="39"/>
      <c r="L266" s="39"/>
      <c r="M266" s="39"/>
      <c r="N266" s="39"/>
      <c r="O266" s="39"/>
    </row>
    <row r="267" spans="3:18" x14ac:dyDescent="0.2">
      <c r="C267" s="443"/>
      <c r="D267" s="39"/>
      <c r="E267" s="366"/>
      <c r="F267" s="39"/>
      <c r="G267" s="39"/>
      <c r="H267" s="39"/>
      <c r="I267" s="39"/>
      <c r="J267" s="39"/>
      <c r="K267" s="39"/>
      <c r="L267" s="39"/>
      <c r="M267" s="39"/>
      <c r="N267" s="39"/>
      <c r="O267" s="39"/>
    </row>
    <row r="268" spans="3:18" x14ac:dyDescent="0.2">
      <c r="C268" s="39"/>
      <c r="E268" s="366"/>
      <c r="H268" s="39"/>
      <c r="J268" s="39"/>
      <c r="K268" s="39"/>
      <c r="L268" s="39"/>
      <c r="M268" s="39"/>
      <c r="N268" s="39"/>
      <c r="O268" s="39"/>
      <c r="P268" s="39"/>
      <c r="Q268" s="39"/>
      <c r="R268" s="39"/>
    </row>
    <row r="270" spans="3:18" x14ac:dyDescent="0.2">
      <c r="E270" s="366"/>
      <c r="F270" s="39"/>
      <c r="G270" s="93"/>
      <c r="J270" s="39"/>
      <c r="K270" s="39"/>
      <c r="L270" s="136"/>
      <c r="M270" s="89"/>
      <c r="N270" s="136"/>
      <c r="O270" s="136"/>
      <c r="P270" s="136"/>
      <c r="Q270" s="136"/>
      <c r="R270" s="231"/>
    </row>
    <row r="271" spans="3:18" x14ac:dyDescent="0.2">
      <c r="C271" s="443"/>
      <c r="D271" s="39"/>
      <c r="E271" s="366"/>
      <c r="F271" s="39"/>
      <c r="G271" s="93"/>
      <c r="H271" s="39"/>
      <c r="I271" s="39"/>
    </row>
    <row r="272" spans="3:18" x14ac:dyDescent="0.2">
      <c r="C272" s="443"/>
      <c r="D272" s="39"/>
      <c r="E272" s="366"/>
      <c r="F272" s="39"/>
      <c r="G272" s="93"/>
      <c r="H272" s="39"/>
      <c r="I272" s="39"/>
    </row>
    <row r="273" spans="3:12" x14ac:dyDescent="0.2">
      <c r="C273" s="443"/>
      <c r="D273" s="39"/>
      <c r="E273" s="366"/>
      <c r="F273" s="39"/>
      <c r="G273" s="93"/>
      <c r="H273" s="39"/>
      <c r="I273" s="39"/>
    </row>
    <row r="274" spans="3:12" x14ac:dyDescent="0.2">
      <c r="C274" s="443"/>
      <c r="D274" s="39"/>
      <c r="E274" s="366"/>
      <c r="F274" s="39"/>
      <c r="G274" s="93"/>
      <c r="H274" s="39"/>
      <c r="I274" s="39"/>
    </row>
    <row r="275" spans="3:12" x14ac:dyDescent="0.2">
      <c r="C275" s="443"/>
      <c r="D275" s="39"/>
      <c r="E275" s="366"/>
      <c r="F275" s="39"/>
      <c r="G275" s="93"/>
      <c r="H275" s="39"/>
      <c r="I275" s="39"/>
    </row>
    <row r="276" spans="3:12" x14ac:dyDescent="0.2">
      <c r="C276" s="443"/>
      <c r="D276" s="39"/>
      <c r="E276" s="366"/>
      <c r="F276" s="39"/>
      <c r="G276" s="93"/>
      <c r="H276" s="39"/>
      <c r="I276" s="39"/>
    </row>
    <row r="277" spans="3:12" x14ac:dyDescent="0.2">
      <c r="C277" s="443"/>
      <c r="D277" s="39"/>
      <c r="E277" s="257"/>
      <c r="F277" s="39"/>
      <c r="G277" s="93"/>
      <c r="H277" s="39"/>
      <c r="I277" s="39"/>
    </row>
    <row r="278" spans="3:12" x14ac:dyDescent="0.2">
      <c r="C278" s="443"/>
      <c r="D278" s="39"/>
      <c r="E278" s="366"/>
      <c r="F278" s="39"/>
      <c r="G278" s="93"/>
      <c r="H278" s="39"/>
      <c r="I278" s="39"/>
    </row>
    <row r="281" spans="3:12" x14ac:dyDescent="0.2">
      <c r="D281" s="257"/>
      <c r="F281" s="39"/>
      <c r="G281" s="39"/>
      <c r="H281" s="39"/>
      <c r="I281" s="39"/>
      <c r="J281" s="39"/>
    </row>
    <row r="282" spans="3:12" x14ac:dyDescent="0.2">
      <c r="F282" s="89"/>
      <c r="G282" s="89"/>
      <c r="H282" s="89"/>
      <c r="I282" s="89"/>
      <c r="J282" s="89"/>
    </row>
    <row r="283" spans="3:12" x14ac:dyDescent="0.2">
      <c r="F283" s="39"/>
      <c r="G283" s="39"/>
      <c r="H283" s="39"/>
      <c r="I283" s="39"/>
      <c r="J283" s="39"/>
    </row>
    <row r="284" spans="3:12" x14ac:dyDescent="0.2">
      <c r="F284" s="39"/>
      <c r="G284" s="39"/>
      <c r="H284" s="39"/>
      <c r="I284" s="39"/>
      <c r="J284" s="39"/>
    </row>
    <row r="285" spans="3:12" x14ac:dyDescent="0.2">
      <c r="E285" s="252"/>
      <c r="F285" s="39"/>
      <c r="G285" s="39"/>
      <c r="H285" s="39"/>
      <c r="I285" s="39"/>
      <c r="J285" s="39"/>
    </row>
    <row r="286" spans="3:12" x14ac:dyDescent="0.2">
      <c r="E286" s="252"/>
      <c r="F286" s="136"/>
      <c r="G286" s="136"/>
      <c r="H286" s="136"/>
      <c r="I286" s="136"/>
      <c r="J286" s="136"/>
      <c r="L286" s="136"/>
    </row>
    <row r="287" spans="3:12" x14ac:dyDescent="0.2">
      <c r="E287" s="252"/>
      <c r="F287" s="136"/>
      <c r="G287" s="136"/>
      <c r="H287" s="136"/>
      <c r="I287" s="136"/>
      <c r="J287" s="136"/>
    </row>
    <row r="288" spans="3:12" x14ac:dyDescent="0.2">
      <c r="E288" s="252"/>
      <c r="F288" s="136"/>
      <c r="G288" s="136"/>
      <c r="H288" s="136"/>
      <c r="I288" s="136"/>
      <c r="J288" s="136"/>
    </row>
    <row r="290" spans="3:18" x14ac:dyDescent="0.2">
      <c r="C290" s="501"/>
      <c r="D290" s="39"/>
      <c r="F290" s="136"/>
      <c r="G290" s="136"/>
      <c r="H290" s="136"/>
      <c r="I290" s="136"/>
      <c r="J290" s="136"/>
    </row>
    <row r="291" spans="3:18" x14ac:dyDescent="0.2">
      <c r="C291" s="502"/>
      <c r="D291" s="93"/>
      <c r="F291" s="136"/>
      <c r="G291" s="136"/>
      <c r="H291" s="136"/>
      <c r="I291" s="136"/>
      <c r="J291" s="136"/>
    </row>
    <row r="292" spans="3:18" x14ac:dyDescent="0.2">
      <c r="C292" s="502"/>
      <c r="D292" s="93"/>
      <c r="F292" s="136"/>
      <c r="G292" s="136"/>
      <c r="H292" s="136"/>
      <c r="I292" s="136"/>
      <c r="J292" s="136"/>
    </row>
    <row r="293" spans="3:18" x14ac:dyDescent="0.2">
      <c r="C293" s="502"/>
      <c r="D293" s="93"/>
      <c r="F293" s="136"/>
      <c r="G293" s="136"/>
      <c r="H293" s="136"/>
      <c r="I293" s="136"/>
      <c r="J293" s="136"/>
    </row>
    <row r="294" spans="3:18" x14ac:dyDescent="0.2">
      <c r="C294" s="502"/>
      <c r="D294" s="93"/>
      <c r="F294" s="136"/>
      <c r="G294" s="136"/>
      <c r="H294" s="136"/>
      <c r="I294" s="136"/>
      <c r="J294" s="136"/>
    </row>
    <row r="295" spans="3:18" x14ac:dyDescent="0.2">
      <c r="C295" s="502"/>
      <c r="D295" s="93"/>
      <c r="F295" s="136"/>
      <c r="G295" s="136"/>
      <c r="H295" s="136"/>
      <c r="I295" s="136"/>
      <c r="J295" s="136"/>
    </row>
    <row r="296" spans="3:18" x14ac:dyDescent="0.2">
      <c r="C296" s="502"/>
      <c r="D296" s="93"/>
      <c r="F296" s="136"/>
      <c r="G296" s="136"/>
      <c r="H296" s="136"/>
      <c r="I296" s="136"/>
      <c r="J296" s="136"/>
    </row>
    <row r="297" spans="3:18" x14ac:dyDescent="0.2">
      <c r="C297" s="502"/>
      <c r="D297" s="93"/>
      <c r="F297" s="136"/>
      <c r="G297" s="136"/>
      <c r="H297" s="136"/>
      <c r="I297" s="136"/>
      <c r="J297" s="136"/>
    </row>
    <row r="298" spans="3:18" x14ac:dyDescent="0.2">
      <c r="C298" s="39"/>
      <c r="F298" s="136"/>
      <c r="G298" s="136"/>
      <c r="H298" s="136"/>
      <c r="I298" s="136"/>
      <c r="J298" s="136"/>
      <c r="K298" s="136"/>
      <c r="L298" s="136"/>
      <c r="M298" s="136"/>
      <c r="N298" s="136"/>
      <c r="O298" s="136"/>
      <c r="P298" s="136"/>
      <c r="Q298" s="136"/>
      <c r="R298" s="136"/>
    </row>
    <row r="300" spans="3:18" x14ac:dyDescent="0.2">
      <c r="E300" s="366"/>
      <c r="F300" s="39"/>
      <c r="G300" s="39"/>
      <c r="J300" s="39"/>
      <c r="K300" s="39"/>
      <c r="L300" s="39"/>
      <c r="M300" s="39"/>
      <c r="N300" s="39"/>
      <c r="O300" s="39"/>
      <c r="P300" s="39"/>
      <c r="Q300" s="39"/>
      <c r="R300" s="39"/>
    </row>
    <row r="301" spans="3:18" x14ac:dyDescent="0.2">
      <c r="C301" s="443"/>
      <c r="D301" s="39"/>
      <c r="E301" s="366"/>
      <c r="F301" s="39"/>
      <c r="G301" s="93"/>
      <c r="H301" s="39"/>
      <c r="I301" s="39"/>
    </row>
    <row r="302" spans="3:18" x14ac:dyDescent="0.2">
      <c r="C302" s="443"/>
      <c r="D302" s="39"/>
      <c r="E302" s="366"/>
      <c r="F302" s="39"/>
      <c r="G302" s="93"/>
      <c r="H302" s="39"/>
      <c r="I302" s="39"/>
    </row>
    <row r="303" spans="3:18" x14ac:dyDescent="0.2">
      <c r="C303" s="443"/>
      <c r="D303" s="39"/>
      <c r="E303" s="366"/>
      <c r="F303" s="39"/>
      <c r="G303" s="93"/>
      <c r="H303" s="39"/>
      <c r="I303" s="39"/>
    </row>
    <row r="304" spans="3:18" x14ac:dyDescent="0.2">
      <c r="C304" s="443"/>
      <c r="D304" s="39"/>
      <c r="E304" s="366"/>
      <c r="F304" s="39"/>
      <c r="G304" s="93"/>
      <c r="H304" s="39"/>
      <c r="I304" s="39"/>
    </row>
    <row r="305" spans="3:12" x14ac:dyDescent="0.2">
      <c r="C305" s="443"/>
      <c r="D305" s="39"/>
      <c r="E305" s="366"/>
      <c r="F305" s="39"/>
      <c r="G305" s="93"/>
      <c r="H305" s="39"/>
      <c r="I305" s="39"/>
    </row>
    <row r="306" spans="3:12" x14ac:dyDescent="0.2">
      <c r="C306" s="443"/>
      <c r="D306" s="39"/>
      <c r="E306" s="366"/>
      <c r="F306" s="39"/>
      <c r="G306" s="93"/>
      <c r="H306" s="39"/>
      <c r="I306" s="39"/>
    </row>
    <row r="307" spans="3:12" x14ac:dyDescent="0.2">
      <c r="C307" s="443"/>
      <c r="D307" s="39"/>
      <c r="E307" s="257"/>
      <c r="F307" s="39"/>
      <c r="G307" s="93"/>
      <c r="H307" s="39"/>
      <c r="I307" s="39"/>
    </row>
    <row r="308" spans="3:12" x14ac:dyDescent="0.2">
      <c r="C308" s="443"/>
      <c r="D308" s="39"/>
      <c r="E308" s="366"/>
      <c r="F308" s="39"/>
      <c r="G308" s="93"/>
      <c r="H308" s="39"/>
      <c r="I308" s="39"/>
    </row>
    <row r="309" spans="3:12" x14ac:dyDescent="0.2">
      <c r="G309" s="39"/>
    </row>
    <row r="311" spans="3:12" x14ac:dyDescent="0.2">
      <c r="C311" s="252"/>
      <c r="D311" s="252"/>
      <c r="E311" s="445"/>
      <c r="F311" s="252"/>
      <c r="G311" s="252"/>
      <c r="H311" s="252"/>
      <c r="I311" s="252"/>
      <c r="J311" s="252"/>
      <c r="K311" s="252"/>
      <c r="L311" s="252"/>
    </row>
    <row r="312" spans="3:12" x14ac:dyDescent="0.2">
      <c r="D312" s="446"/>
      <c r="E312" s="39"/>
      <c r="F312" s="39"/>
      <c r="G312" s="39"/>
      <c r="I312" s="39"/>
      <c r="K312" s="39"/>
      <c r="L312" s="39"/>
    </row>
  </sheetData>
  <mergeCells count="2">
    <mergeCell ref="A1:L1"/>
    <mergeCell ref="A2:L2"/>
  </mergeCells>
  <phoneticPr fontId="6" type="noConversion"/>
  <pageMargins left="0.5" right="0.5" top="0.75" bottom="0.5" header="0.5" footer="0.5"/>
  <pageSetup orientation="portrait" horizontalDpi="4294967292" verticalDpi="4294967292"/>
  <headerFooter alignWithMargins="0">
    <oddFooter>&amp;C &amp;P&amp;R&amp;F, &amp;D</oddFooter>
  </headerFooter>
  <rowBreaks count="6" manualBreakCount="6">
    <brk id="42" max="11" man="1"/>
    <brk id="73" max="11" man="1"/>
    <brk id="113" max="11" man="1"/>
    <brk id="133" max="9" man="1"/>
    <brk id="173" max="11" man="1"/>
    <brk id="196" max="9" man="1"/>
  </rowBreaks>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sheetPr>
  <dimension ref="A1:AD95"/>
  <sheetViews>
    <sheetView workbookViewId="0">
      <selection activeCell="Q23" sqref="Q23"/>
    </sheetView>
  </sheetViews>
  <sheetFormatPr defaultColWidth="8.85546875" defaultRowHeight="12.75" x14ac:dyDescent="0.2"/>
  <cols>
    <col min="1" max="1" width="9" customWidth="1"/>
    <col min="2" max="3" width="8.42578125" customWidth="1"/>
    <col min="4" max="4" width="9.7109375" customWidth="1"/>
    <col min="5" max="5" width="10" customWidth="1"/>
    <col min="6" max="15" width="10.7109375" customWidth="1"/>
  </cols>
  <sheetData>
    <row r="1" spans="1:15" ht="15.75" customHeight="1" x14ac:dyDescent="0.25">
      <c r="A1" s="510" t="s">
        <v>158</v>
      </c>
      <c r="B1" s="510"/>
      <c r="C1" s="510"/>
      <c r="D1" s="510"/>
      <c r="E1" s="510"/>
      <c r="F1" s="510"/>
      <c r="G1" s="510"/>
      <c r="H1" s="510"/>
      <c r="I1" s="510"/>
      <c r="J1" s="510"/>
      <c r="K1" s="510"/>
      <c r="L1" s="510"/>
    </row>
    <row r="2" spans="1:15" ht="15.75" customHeight="1" x14ac:dyDescent="0.25">
      <c r="A2" s="512" t="str">
        <f>'Battery Design'!A2:J2</f>
        <v>Li/O2 open architecture system</v>
      </c>
      <c r="B2" s="512"/>
      <c r="C2" s="512"/>
      <c r="D2" s="512"/>
      <c r="E2" s="512"/>
      <c r="F2" s="512"/>
      <c r="G2" s="512"/>
      <c r="H2" s="512"/>
      <c r="I2" s="512"/>
      <c r="J2" s="512"/>
      <c r="K2" s="512"/>
      <c r="L2" s="512"/>
    </row>
    <row r="3" spans="1:15" x14ac:dyDescent="0.2">
      <c r="A3" s="55"/>
      <c r="B3" s="55"/>
      <c r="C3" s="55"/>
      <c r="D3" s="55"/>
      <c r="E3" s="55"/>
      <c r="F3" s="56" t="s">
        <v>106</v>
      </c>
      <c r="G3" s="56" t="s">
        <v>107</v>
      </c>
      <c r="H3" s="56" t="s">
        <v>108</v>
      </c>
      <c r="I3" s="56" t="s">
        <v>109</v>
      </c>
      <c r="J3" s="56" t="s">
        <v>110</v>
      </c>
      <c r="K3" s="300" t="s">
        <v>502</v>
      </c>
      <c r="L3" s="303" t="s">
        <v>503</v>
      </c>
      <c r="M3" s="360" t="s">
        <v>538</v>
      </c>
      <c r="N3" s="360" t="s">
        <v>539</v>
      </c>
      <c r="O3" s="360" t="s">
        <v>604</v>
      </c>
    </row>
    <row r="4" spans="1:15" ht="15.75" x14ac:dyDescent="0.25">
      <c r="A4" s="18" t="s">
        <v>20</v>
      </c>
      <c r="F4" s="3"/>
      <c r="G4" s="3"/>
      <c r="H4" s="3"/>
      <c r="I4" s="3"/>
      <c r="J4" s="52"/>
      <c r="K4" s="52"/>
      <c r="L4" s="52"/>
      <c r="M4" s="52"/>
      <c r="N4" s="52"/>
      <c r="O4" s="52"/>
    </row>
    <row r="5" spans="1:15" x14ac:dyDescent="0.2">
      <c r="A5" t="s">
        <v>187</v>
      </c>
      <c r="D5" s="3"/>
      <c r="F5" s="127">
        <f ca="1">'Battery Design'!F185</f>
        <v>362.41714890220339</v>
      </c>
      <c r="G5" s="127">
        <f ca="1">'Battery Design'!G185</f>
        <v>362.28962486987825</v>
      </c>
      <c r="H5" s="127">
        <f ca="1">'Battery Design'!H185</f>
        <v>362.09259522819332</v>
      </c>
      <c r="I5" s="127">
        <f ca="1">'Battery Design'!I185</f>
        <v>361.84937102856344</v>
      </c>
      <c r="J5" s="127">
        <f ca="1">'Battery Design'!J185</f>
        <v>361.4747036931285</v>
      </c>
      <c r="K5" s="127">
        <f ca="1">'Battery Design'!K185</f>
        <v>361.32627098953367</v>
      </c>
      <c r="L5" s="127">
        <f ca="1">'Battery Design'!L185</f>
        <v>361.37249102313405</v>
      </c>
      <c r="M5" s="127">
        <f ca="1">'Battery Design'!M185</f>
        <v>358.43417305741468</v>
      </c>
      <c r="N5" s="127">
        <f ca="1">'Battery Design'!N185</f>
        <v>358.47265280277099</v>
      </c>
      <c r="O5" s="127">
        <f ca="1">'Battery Design'!O185</f>
        <v>358.50511342180596</v>
      </c>
    </row>
    <row r="6" spans="1:15" x14ac:dyDescent="0.2">
      <c r="A6" s="252" t="s">
        <v>468</v>
      </c>
      <c r="F6" s="222">
        <f>'Battery Design'!F64</f>
        <v>1</v>
      </c>
      <c r="G6" s="222">
        <f>'Battery Design'!G64</f>
        <v>1</v>
      </c>
      <c r="H6" s="222">
        <f>'Battery Design'!H64</f>
        <v>1</v>
      </c>
      <c r="I6" s="222">
        <f>'Battery Design'!I64</f>
        <v>1</v>
      </c>
      <c r="J6" s="222">
        <f>'Battery Design'!J64</f>
        <v>1</v>
      </c>
      <c r="K6" s="222">
        <f>'Battery Design'!K64</f>
        <v>1</v>
      </c>
      <c r="L6" s="222">
        <f>'Battery Design'!L64</f>
        <v>1</v>
      </c>
      <c r="M6" s="222">
        <f>'Battery Design'!M64</f>
        <v>1</v>
      </c>
      <c r="N6" s="222">
        <f>'Battery Design'!N64</f>
        <v>1</v>
      </c>
      <c r="O6" s="222">
        <f>'Battery Design'!O64</f>
        <v>1</v>
      </c>
    </row>
    <row r="7" spans="1:15" x14ac:dyDescent="0.2">
      <c r="A7" s="252" t="s">
        <v>499</v>
      </c>
      <c r="F7" s="277" t="str">
        <f>IF(F6=1," ",IF('Battery Design'!F65="P","parallel",IF('Battery Design'!F65="S","series"," ")))</f>
        <v xml:space="preserve"> </v>
      </c>
      <c r="G7" s="277" t="str">
        <f>IF(G6=1," ",IF('Battery Design'!G65="P","parallel",IF('Battery Design'!G65="S","series"," ")))</f>
        <v xml:space="preserve"> </v>
      </c>
      <c r="H7" s="277" t="str">
        <f>IF(H6=1," ",IF('Battery Design'!H65="P","parallel",IF('Battery Design'!H65="S","series"," ")))</f>
        <v xml:space="preserve"> </v>
      </c>
      <c r="I7" s="277" t="str">
        <f>IF(I6=1," ",IF('Battery Design'!I65="P","parallel",IF('Battery Design'!I65="S","series"," ")))</f>
        <v xml:space="preserve"> </v>
      </c>
      <c r="J7" s="277" t="str">
        <f>IF(J6=1," ",IF('Battery Design'!J65="P","parallel",IF('Battery Design'!J65="S","series"," ")))</f>
        <v xml:space="preserve"> </v>
      </c>
      <c r="K7" s="277" t="str">
        <f>IF(K6=1," ",IF('Battery Design'!K65="P","parallel",IF('Battery Design'!K65="S","series"," ")))</f>
        <v xml:space="preserve"> </v>
      </c>
      <c r="L7" s="277" t="str">
        <f>IF(L6=1," ",IF('Battery Design'!L65="P","parallel",IF('Battery Design'!L65="S","series"," ")))</f>
        <v xml:space="preserve"> </v>
      </c>
      <c r="M7" s="277" t="str">
        <f>IF(M6=1," ",IF('Battery Design'!M65="P","parallel",IF('Battery Design'!M65="S","series"," ")))</f>
        <v xml:space="preserve"> </v>
      </c>
      <c r="N7" s="277" t="str">
        <f>IF(N6=1," ",IF('Battery Design'!N65="P","parallel",IF('Battery Design'!N65="S","series"," ")))</f>
        <v xml:space="preserve"> </v>
      </c>
      <c r="O7" s="277" t="str">
        <f>IF(O6=1," ",IF('Battery Design'!O65="P","parallel",IF('Battery Design'!O65="S","series"," ")))</f>
        <v xml:space="preserve"> </v>
      </c>
    </row>
    <row r="8" spans="1:15" x14ac:dyDescent="0.2">
      <c r="A8" t="s">
        <v>521</v>
      </c>
      <c r="F8" s="128">
        <f>'Battery Design'!F66</f>
        <v>240</v>
      </c>
      <c r="G8" s="128">
        <f>'Battery Design'!G66</f>
        <v>240</v>
      </c>
      <c r="H8" s="128">
        <f>'Battery Design'!H66</f>
        <v>240</v>
      </c>
      <c r="I8" s="128">
        <f>'Battery Design'!I66</f>
        <v>240</v>
      </c>
      <c r="J8" s="128">
        <f>'Battery Design'!J66</f>
        <v>240</v>
      </c>
      <c r="K8" s="128">
        <f>'Battery Design'!K66</f>
        <v>240</v>
      </c>
      <c r="L8" s="128">
        <f>'Battery Design'!L66</f>
        <v>240</v>
      </c>
      <c r="M8" s="128">
        <f>'Battery Design'!M66</f>
        <v>240</v>
      </c>
      <c r="N8" s="128">
        <f>'Battery Design'!N66</f>
        <v>240</v>
      </c>
      <c r="O8" s="128">
        <f>'Battery Design'!O66</f>
        <v>240</v>
      </c>
    </row>
    <row r="9" spans="1:15" x14ac:dyDescent="0.2">
      <c r="A9" s="252" t="s">
        <v>469</v>
      </c>
      <c r="F9" s="127">
        <f ca="1">'Battery Design'!F136*F6</f>
        <v>127.91193490666001</v>
      </c>
      <c r="G9" s="127">
        <f ca="1">'Battery Design'!G136*G6</f>
        <v>127.86692642466292</v>
      </c>
      <c r="H9" s="127">
        <f ca="1">'Battery Design'!H136*H6</f>
        <v>127.79738655112705</v>
      </c>
      <c r="I9" s="127">
        <f ca="1">'Battery Design'!I136*I6</f>
        <v>127.71154271596357</v>
      </c>
      <c r="J9" s="127">
        <f ca="1">'Battery Design'!J136*J6</f>
        <v>127.57930718581005</v>
      </c>
      <c r="K9" s="127">
        <f ca="1">'Battery Design'!K136*K6</f>
        <v>127.52691917277659</v>
      </c>
      <c r="L9" s="127">
        <f ca="1">'Battery Design'!L136*L6</f>
        <v>127.54323212581201</v>
      </c>
      <c r="M9" s="127">
        <f ca="1">'Battery Design'!M136*M6</f>
        <v>126.50617872614636</v>
      </c>
      <c r="N9" s="127">
        <f ca="1">'Battery Design'!N136*N6</f>
        <v>126.51975981274269</v>
      </c>
      <c r="O9" s="127">
        <f ca="1">'Battery Design'!O136*O6</f>
        <v>126.53121650181387</v>
      </c>
    </row>
    <row r="10" spans="1:15" x14ac:dyDescent="0.2">
      <c r="A10" s="252" t="s">
        <v>464</v>
      </c>
      <c r="F10" s="127">
        <f ca="1">'Battery Design'!F77</f>
        <v>203.05582623187675</v>
      </c>
      <c r="G10" s="127">
        <f ca="1">'Battery Design'!G77</f>
        <v>202.49260080562215</v>
      </c>
      <c r="H10" s="127">
        <f ca="1">'Battery Design'!H77</f>
        <v>201.68382052418207</v>
      </c>
      <c r="I10" s="127">
        <f ca="1">'Battery Design'!I77</f>
        <v>200.58799905927421</v>
      </c>
      <c r="J10" s="127">
        <f ca="1">'Battery Design'!J77</f>
        <v>201.87162508614287</v>
      </c>
      <c r="K10" s="127">
        <f ca="1">'Battery Design'!K77</f>
        <v>200.26495485088896</v>
      </c>
      <c r="L10" s="127">
        <f ca="1">'Battery Design'!L77</f>
        <v>196.57471886976748</v>
      </c>
      <c r="M10" s="127">
        <f ca="1">'Battery Design'!M77</f>
        <v>191.91900588234245</v>
      </c>
      <c r="N10" s="127">
        <f ca="1">'Battery Design'!N77</f>
        <v>189.11439047495833</v>
      </c>
      <c r="O10" s="127">
        <f ca="1">'Battery Design'!O77</f>
        <v>186.71831367323819</v>
      </c>
    </row>
    <row r="11" spans="1:15" x14ac:dyDescent="0.2">
      <c r="A11" s="252" t="s">
        <v>519</v>
      </c>
      <c r="F11" s="127">
        <f ca="1">'Battery Design'!F76</f>
        <v>406.1116524637535</v>
      </c>
      <c r="G11" s="127">
        <f ca="1">'Battery Design'!G76</f>
        <v>404.98520161124429</v>
      </c>
      <c r="H11" s="127">
        <f ca="1">'Battery Design'!H76</f>
        <v>403.36764104836413</v>
      </c>
      <c r="I11" s="127">
        <f ca="1">'Battery Design'!I76</f>
        <v>401.17599811854842</v>
      </c>
      <c r="J11" s="127">
        <f ca="1">'Battery Design'!J76</f>
        <v>403.74325017228574</v>
      </c>
      <c r="K11" s="127">
        <f ca="1">'Battery Design'!K76</f>
        <v>400.52990970177791</v>
      </c>
      <c r="L11" s="127">
        <f ca="1">'Battery Design'!L76</f>
        <v>393.14943773953496</v>
      </c>
      <c r="M11" s="127">
        <f ca="1">'Battery Design'!M76</f>
        <v>383.83801176468489</v>
      </c>
      <c r="N11" s="127">
        <f ca="1">'Battery Design'!N76</f>
        <v>378.22878094991665</v>
      </c>
      <c r="O11" s="127">
        <f ca="1">'Battery Design'!O76</f>
        <v>373.43662734647637</v>
      </c>
    </row>
    <row r="12" spans="1:15" x14ac:dyDescent="0.2">
      <c r="A12" s="252" t="s">
        <v>478</v>
      </c>
      <c r="F12" s="127">
        <f ca="1">'Battery Design'!F115</f>
        <v>406.1116524637535</v>
      </c>
      <c r="G12" s="127">
        <f ca="1">'Battery Design'!G115</f>
        <v>404.98520161124429</v>
      </c>
      <c r="H12" s="127">
        <f ca="1">'Battery Design'!H115</f>
        <v>403.36764104836413</v>
      </c>
      <c r="I12" s="127">
        <f ca="1">'Battery Design'!I115</f>
        <v>401.17599811854842</v>
      </c>
      <c r="J12" s="127">
        <f ca="1">'Battery Design'!J115</f>
        <v>403.74325017228574</v>
      </c>
      <c r="K12" s="127">
        <f ca="1">'Battery Design'!K115</f>
        <v>400.52990970177791</v>
      </c>
      <c r="L12" s="127">
        <f ca="1">'Battery Design'!L115</f>
        <v>393.14943773953496</v>
      </c>
      <c r="M12" s="127">
        <f ca="1">'Battery Design'!M115</f>
        <v>383.83801176468489</v>
      </c>
      <c r="N12" s="127">
        <f ca="1">'Battery Design'!N115</f>
        <v>378.22878094991665</v>
      </c>
      <c r="O12" s="127">
        <f ca="1">'Battery Design'!O115</f>
        <v>373.43662734647637</v>
      </c>
    </row>
    <row r="13" spans="1:15" x14ac:dyDescent="0.2">
      <c r="A13" s="252" t="s">
        <v>511</v>
      </c>
      <c r="F13" s="127">
        <f ca="1">'Battery Design'!F135</f>
        <v>406.1116524637535</v>
      </c>
      <c r="G13" s="127">
        <f ca="1">'Battery Design'!G135</f>
        <v>404.98520161124429</v>
      </c>
      <c r="H13" s="127">
        <f ca="1">'Battery Design'!H135</f>
        <v>403.36764104836413</v>
      </c>
      <c r="I13" s="127">
        <f ca="1">'Battery Design'!I135</f>
        <v>401.17599811854842</v>
      </c>
      <c r="J13" s="127">
        <f ca="1">'Battery Design'!J135</f>
        <v>403.74325017228574</v>
      </c>
      <c r="K13" s="127">
        <f ca="1">'Battery Design'!K135</f>
        <v>400.52990970177791</v>
      </c>
      <c r="L13" s="127">
        <f ca="1">'Battery Design'!L135</f>
        <v>393.14943773953496</v>
      </c>
      <c r="M13" s="127">
        <f ca="1">'Battery Design'!M135</f>
        <v>383.83801176468489</v>
      </c>
      <c r="N13" s="127">
        <f ca="1">'Battery Design'!N135</f>
        <v>378.22878094991665</v>
      </c>
      <c r="O13" s="127">
        <f ca="1">'Battery Design'!O135</f>
        <v>373.43662734647637</v>
      </c>
    </row>
    <row r="14" spans="1:15" x14ac:dyDescent="0.2">
      <c r="A14" s="252" t="s">
        <v>509</v>
      </c>
      <c r="F14" s="127">
        <f t="shared" ref="F14:K14" ca="1" si="0">IF(F7="parallel",F6*F13,F13)</f>
        <v>406.1116524637535</v>
      </c>
      <c r="G14" s="127">
        <f t="shared" ca="1" si="0"/>
        <v>404.98520161124429</v>
      </c>
      <c r="H14" s="127">
        <f t="shared" ca="1" si="0"/>
        <v>403.36764104836413</v>
      </c>
      <c r="I14" s="127">
        <f t="shared" ca="1" si="0"/>
        <v>401.17599811854842</v>
      </c>
      <c r="J14" s="127">
        <f t="shared" ca="1" si="0"/>
        <v>403.74325017228574</v>
      </c>
      <c r="K14" s="127">
        <f t="shared" ca="1" si="0"/>
        <v>400.52990970177791</v>
      </c>
      <c r="L14" s="127">
        <f t="shared" ref="L14:O14" ca="1" si="1">IF(L7="parallel",L6*L13,L13)</f>
        <v>393.14943773953496</v>
      </c>
      <c r="M14" s="127">
        <f t="shared" ca="1" si="1"/>
        <v>383.83801176468489</v>
      </c>
      <c r="N14" s="127">
        <f t="shared" ca="1" si="1"/>
        <v>378.22878094991665</v>
      </c>
      <c r="O14" s="127">
        <f t="shared" ca="1" si="1"/>
        <v>373.43662734647637</v>
      </c>
    </row>
    <row r="15" spans="1:15" x14ac:dyDescent="0.2">
      <c r="A15" s="252" t="s">
        <v>500</v>
      </c>
      <c r="F15" s="128">
        <f>'Battery Design'!F139*IF('Battery Design'!F65="S",'Battery Design'!F64,1)</f>
        <v>355.2</v>
      </c>
      <c r="G15" s="128">
        <f>'Battery Design'!G139*IF('Battery Design'!G65="S",'Battery Design'!G64,1)</f>
        <v>355.2</v>
      </c>
      <c r="H15" s="128">
        <f>'Battery Design'!H139*IF('Battery Design'!H65="S",'Battery Design'!H64,1)</f>
        <v>355.2</v>
      </c>
      <c r="I15" s="128">
        <f>'Battery Design'!I139*IF('Battery Design'!I65="S",'Battery Design'!I64,1)</f>
        <v>355.2</v>
      </c>
      <c r="J15" s="128">
        <f>'Battery Design'!J139*IF('Battery Design'!J65="S",'Battery Design'!J64,1)</f>
        <v>355.2</v>
      </c>
      <c r="K15" s="128">
        <f>'Battery Design'!K139*IF('Battery Design'!K65="S",'Battery Design'!K64,1)</f>
        <v>355.2</v>
      </c>
      <c r="L15" s="128">
        <f>'Battery Design'!L139*IF('Battery Design'!L65="S",'Battery Design'!L64,1)</f>
        <v>355.2</v>
      </c>
      <c r="M15" s="128">
        <f>'Battery Design'!M139*IF('Battery Design'!M65="S",'Battery Design'!M64,1)</f>
        <v>355.2</v>
      </c>
      <c r="N15" s="128">
        <f>'Battery Design'!N139*IF('Battery Design'!N65="S",'Battery Design'!N64,1)</f>
        <v>355.2</v>
      </c>
      <c r="O15" s="128">
        <f>'Battery Design'!O139*IF('Battery Design'!O65="S",'Battery Design'!O64,1)</f>
        <v>355.2</v>
      </c>
    </row>
    <row r="16" spans="1:15" x14ac:dyDescent="0.2">
      <c r="A16" s="252" t="s">
        <v>470</v>
      </c>
      <c r="F16" s="127">
        <f ca="1">'Battery Design'!F140*F6</f>
        <v>87.730000000894364</v>
      </c>
      <c r="G16" s="127">
        <f ca="1">'Battery Design'!G140*G6</f>
        <v>87.729999999880491</v>
      </c>
      <c r="H16" s="127">
        <f ca="1">'Battery Design'!H140*H6</f>
        <v>87.729999999640896</v>
      </c>
      <c r="I16" s="127">
        <f ca="1">'Battery Design'!I140*I6</f>
        <v>87.729999997970523</v>
      </c>
      <c r="J16" s="127">
        <f ca="1">'Battery Design'!J140*J6</f>
        <v>87.729999991860524</v>
      </c>
      <c r="K16" s="127">
        <f ca="1">'Battery Design'!K140*K6</f>
        <v>91.844132185265678</v>
      </c>
      <c r="L16" s="127">
        <f ca="1">'Battery Design'!L140*L6</f>
        <v>104.6250338090633</v>
      </c>
      <c r="M16" s="127">
        <f ca="1">'Battery Design'!M140*M6</f>
        <v>111.96644816481543</v>
      </c>
      <c r="N16" s="127">
        <f ca="1">'Battery Design'!N140*N6</f>
        <v>128.08702189979809</v>
      </c>
      <c r="O16" s="127">
        <f ca="1">'Battery Design'!O140*O6</f>
        <v>148.0906297589776</v>
      </c>
    </row>
    <row r="17" spans="1:16" x14ac:dyDescent="0.2">
      <c r="A17" s="267" t="s">
        <v>471</v>
      </c>
      <c r="B17" s="106"/>
      <c r="C17" s="106"/>
      <c r="D17" s="106"/>
      <c r="E17" s="106"/>
      <c r="F17" s="321">
        <f>'Battery Design'!F57*F6</f>
        <v>87.73</v>
      </c>
      <c r="G17" s="321">
        <f>'Battery Design'!G57*G6</f>
        <v>87.73</v>
      </c>
      <c r="H17" s="321">
        <f>'Battery Design'!H57*H6</f>
        <v>87.73</v>
      </c>
      <c r="I17" s="321">
        <f>'Battery Design'!I57*I6</f>
        <v>87.73</v>
      </c>
      <c r="J17" s="321">
        <f>'Battery Design'!J57*J6</f>
        <v>87.73</v>
      </c>
      <c r="K17" s="321">
        <f>'Battery Design'!K57*K6</f>
        <v>87.55</v>
      </c>
      <c r="L17" s="321">
        <f>'Battery Design'!L57*L6</f>
        <v>87.25</v>
      </c>
      <c r="M17" s="321">
        <f>'Battery Design'!M57*M6</f>
        <v>87.1</v>
      </c>
      <c r="N17" s="321">
        <f>'Battery Design'!N57*N6</f>
        <v>86.9</v>
      </c>
      <c r="O17" s="321">
        <f>'Battery Design'!O57*O6</f>
        <v>86.7</v>
      </c>
    </row>
    <row r="18" spans="1:16" x14ac:dyDescent="0.2">
      <c r="A18" s="148" t="s">
        <v>285</v>
      </c>
      <c r="B18" s="106"/>
      <c r="C18" s="106"/>
      <c r="D18" s="106"/>
      <c r="E18" s="106"/>
      <c r="F18" s="321">
        <f>'Battery Design'!F51</f>
        <v>80</v>
      </c>
      <c r="G18" s="321">
        <f>'Battery Design'!G51</f>
        <v>80</v>
      </c>
      <c r="H18" s="321">
        <f>'Battery Design'!H51</f>
        <v>80</v>
      </c>
      <c r="I18" s="321">
        <f>'Battery Design'!I51</f>
        <v>80</v>
      </c>
      <c r="J18" s="321">
        <f>'Battery Design'!J51</f>
        <v>80</v>
      </c>
      <c r="K18" s="321">
        <f>'Battery Design'!K51</f>
        <v>80</v>
      </c>
      <c r="L18" s="321">
        <f>'Battery Design'!L51</f>
        <v>80</v>
      </c>
      <c r="M18" s="321">
        <f>'Battery Design'!M51</f>
        <v>80</v>
      </c>
      <c r="N18" s="321">
        <f>'Battery Design'!N51</f>
        <v>80</v>
      </c>
      <c r="O18" s="321">
        <f>'Battery Design'!O51</f>
        <v>80</v>
      </c>
    </row>
    <row r="19" spans="1:16" x14ac:dyDescent="0.2">
      <c r="A19" s="106" t="s">
        <v>287</v>
      </c>
      <c r="B19" s="106"/>
      <c r="C19" s="106"/>
      <c r="D19" s="106"/>
      <c r="E19" s="106"/>
      <c r="F19" s="321">
        <f ca="1">'Battery Design'!F52</f>
        <v>79.999999999889127</v>
      </c>
      <c r="G19" s="321">
        <f ca="1">'Battery Design'!G52</f>
        <v>79.999999999945999</v>
      </c>
      <c r="H19" s="321">
        <f ca="1">'Battery Design'!H52</f>
        <v>79.999999999846438</v>
      </c>
      <c r="I19" s="321">
        <f ca="1">'Battery Design'!I52</f>
        <v>79.999999999163478</v>
      </c>
      <c r="J19" s="321">
        <f ca="1">'Battery Design'!J52</f>
        <v>79.999999996814068</v>
      </c>
      <c r="K19" s="321">
        <f ca="1">'Battery Design'!K52</f>
        <v>81.221904161627862</v>
      </c>
      <c r="L19" s="321">
        <f ca="1">'Battery Design'!L52</f>
        <v>84.142514602572902</v>
      </c>
      <c r="M19" s="321">
        <f ca="1">'Battery Design'!M52</f>
        <v>85.430797668102358</v>
      </c>
      <c r="N19" s="321">
        <f ca="1">'Battery Design'!N52</f>
        <v>87.609679534180202</v>
      </c>
      <c r="O19" s="321">
        <f ca="1">'Battery Design'!O52</f>
        <v>89.538289263045471</v>
      </c>
    </row>
    <row r="20" spans="1:16" x14ac:dyDescent="0.2">
      <c r="A20" s="252" t="s">
        <v>517</v>
      </c>
      <c r="D20" s="3"/>
      <c r="F20" s="127">
        <f ca="1">'Battery Design'!F167</f>
        <v>226.41265142450524</v>
      </c>
      <c r="G20" s="127">
        <f ca="1">'Battery Design'!G167</f>
        <v>187.6656504782768</v>
      </c>
      <c r="H20" s="127">
        <f ca="1">'Battery Design'!H167</f>
        <v>165.65427182089022</v>
      </c>
      <c r="I20" s="127">
        <f ca="1">'Battery Design'!I167</f>
        <v>153.16045737513738</v>
      </c>
      <c r="J20" s="127">
        <f ca="1">'Battery Design'!J167</f>
        <v>146.45385518200229</v>
      </c>
      <c r="K20" s="127">
        <f ca="1">'Battery Design'!K167</f>
        <v>143.08934267832913</v>
      </c>
      <c r="L20" s="127">
        <f ca="1">'Battery Design'!L167</f>
        <v>140.97691238675577</v>
      </c>
      <c r="M20" s="127">
        <f ca="1">'Battery Design'!M167</f>
        <v>137.20018056314976</v>
      </c>
      <c r="N20" s="127">
        <f ca="1">'Battery Design'!N167</f>
        <v>135.58425121975327</v>
      </c>
      <c r="O20" s="127">
        <f ca="1">'Battery Design'!O167</f>
        <v>134.2021109365063</v>
      </c>
    </row>
    <row r="21" spans="1:16" x14ac:dyDescent="0.2">
      <c r="A21" s="252" t="s">
        <v>534</v>
      </c>
      <c r="D21" s="3"/>
      <c r="F21" s="127">
        <f ca="1">'Battery Design'!F168</f>
        <v>352.81657724298555</v>
      </c>
      <c r="G21" s="127">
        <f ca="1">'Battery Design'!G168</f>
        <v>257.18943757999284</v>
      </c>
      <c r="H21" s="127">
        <f ca="1">'Battery Design'!H168</f>
        <v>204.9562220616705</v>
      </c>
      <c r="I21" s="127">
        <f ca="1">'Battery Design'!I168</f>
        <v>175.29137032181669</v>
      </c>
      <c r="J21" s="127">
        <f ca="1">'Battery Design'!J168</f>
        <v>160.03314141675344</v>
      </c>
      <c r="K21" s="127">
        <f ca="1">'Battery Design'!K168</f>
        <v>150.79054712415461</v>
      </c>
      <c r="L21" s="127">
        <f ca="1">'Battery Design'!L168</f>
        <v>148.41949215031889</v>
      </c>
      <c r="M21" s="127">
        <f ca="1">'Battery Design'!M168</f>
        <v>147.75402219504565</v>
      </c>
      <c r="N21" s="127">
        <f ca="1">'Battery Design'!N168</f>
        <v>145.90575838337881</v>
      </c>
      <c r="O21" s="127">
        <f ca="1">'Battery Design'!O168</f>
        <v>144.32543715561599</v>
      </c>
    </row>
    <row r="22" spans="1:16" x14ac:dyDescent="0.2">
      <c r="D22" s="3"/>
      <c r="F22" s="128"/>
      <c r="G22" s="128"/>
      <c r="H22" s="128"/>
      <c r="I22" s="128"/>
      <c r="J22" s="128"/>
      <c r="K22" s="128"/>
      <c r="L22" s="128"/>
      <c r="M22" s="128"/>
      <c r="N22" s="128"/>
      <c r="O22" s="128"/>
      <c r="P22" s="5"/>
    </row>
    <row r="23" spans="1:16" ht="15.75" x14ac:dyDescent="0.25">
      <c r="A23" s="18" t="s">
        <v>62</v>
      </c>
      <c r="B23" s="5"/>
      <c r="C23" s="5"/>
      <c r="D23" s="71"/>
      <c r="E23" s="20"/>
      <c r="F23" s="71"/>
      <c r="G23" s="71"/>
      <c r="H23" s="71"/>
      <c r="I23" s="71"/>
      <c r="J23" s="71"/>
      <c r="K23" s="71"/>
      <c r="L23" s="71"/>
      <c r="M23" s="71"/>
      <c r="N23" s="71"/>
      <c r="O23" s="71"/>
    </row>
    <row r="24" spans="1:16" x14ac:dyDescent="0.2">
      <c r="A24" s="7" t="s">
        <v>154</v>
      </c>
      <c r="B24" s="7"/>
      <c r="C24" s="7"/>
      <c r="D24" s="71"/>
      <c r="E24" s="20"/>
      <c r="F24" s="71">
        <f ca="1">'Manufacturing Cost Calculations'!F259</f>
        <v>464.66204800884003</v>
      </c>
      <c r="G24" s="71">
        <f ca="1">'Manufacturing Cost Calculations'!G259</f>
        <v>433.94097352407647</v>
      </c>
      <c r="H24" s="71">
        <f ca="1">'Manufacturing Cost Calculations'!H259</f>
        <v>413.79447309330857</v>
      </c>
      <c r="I24" s="71">
        <f ca="1">'Manufacturing Cost Calculations'!I259</f>
        <v>400.5958843595252</v>
      </c>
      <c r="J24" s="71">
        <f ca="1">'Manufacturing Cost Calculations'!J259</f>
        <v>392.60134396586881</v>
      </c>
      <c r="K24" s="71">
        <f ca="1">'Manufacturing Cost Calculations'!K259</f>
        <v>388.02193041148058</v>
      </c>
      <c r="L24" s="71">
        <f ca="1">'Manufacturing Cost Calculations'!L259</f>
        <v>386.64621370329058</v>
      </c>
      <c r="M24" s="71">
        <f ca="1">'Manufacturing Cost Calculations'!M259</f>
        <v>384.57096174024201</v>
      </c>
      <c r="N24" s="71">
        <f ca="1">'Manufacturing Cost Calculations'!N259</f>
        <v>383.50118488648963</v>
      </c>
      <c r="O24" s="71">
        <f ca="1">'Manufacturing Cost Calculations'!O259</f>
        <v>382.58012132165055</v>
      </c>
    </row>
    <row r="25" spans="1:16" x14ac:dyDescent="0.2">
      <c r="A25" s="7" t="s">
        <v>161</v>
      </c>
      <c r="B25" s="7"/>
      <c r="C25" s="7"/>
      <c r="D25" s="71"/>
      <c r="E25" s="20"/>
      <c r="F25" s="71"/>
      <c r="G25" s="71"/>
      <c r="H25" s="71"/>
      <c r="I25" s="71"/>
      <c r="J25" s="71"/>
      <c r="K25" s="71"/>
      <c r="L25" s="71"/>
      <c r="M25" s="71"/>
      <c r="N25" s="71"/>
      <c r="O25" s="71"/>
    </row>
    <row r="26" spans="1:16" ht="14.25" x14ac:dyDescent="0.2">
      <c r="A26" s="7" t="s">
        <v>243</v>
      </c>
      <c r="B26" s="7"/>
      <c r="C26" s="7"/>
      <c r="D26" s="71"/>
      <c r="E26" s="20"/>
      <c r="F26" s="71">
        <f ca="1">'Manufacturing Cost Calculations'!F260</f>
        <v>53903.22990926262</v>
      </c>
      <c r="G26" s="71">
        <f ca="1">'Manufacturing Cost Calculations'!G260</f>
        <v>48569.086121739136</v>
      </c>
      <c r="H26" s="71">
        <f ca="1">'Manufacturing Cost Calculations'!H260</f>
        <v>45162.842705077172</v>
      </c>
      <c r="I26" s="71">
        <f ca="1">'Manufacturing Cost Calculations'!I260</f>
        <v>42987.500778613095</v>
      </c>
      <c r="J26" s="71">
        <f ca="1">'Manufacturing Cost Calculations'!J260</f>
        <v>41634.728548335108</v>
      </c>
      <c r="K26" s="71">
        <f ca="1">'Manufacturing Cost Calculations'!K260</f>
        <v>40930.30793780501</v>
      </c>
      <c r="L26" s="71">
        <f ca="1">'Manufacturing Cost Calculations'!L260</f>
        <v>40804.635655374354</v>
      </c>
      <c r="M26" s="71">
        <f ca="1">'Manufacturing Cost Calculations'!M260</f>
        <v>40602.535724584974</v>
      </c>
      <c r="N26" s="71">
        <f ca="1">'Manufacturing Cost Calculations'!N260</f>
        <v>40505.004124418927</v>
      </c>
      <c r="O26" s="71">
        <f ca="1">'Manufacturing Cost Calculations'!O260</f>
        <v>40421.086959979264</v>
      </c>
    </row>
    <row r="27" spans="1:16" ht="14.25" x14ac:dyDescent="0.2">
      <c r="A27" s="7" t="s">
        <v>153</v>
      </c>
      <c r="B27" s="7"/>
      <c r="C27" s="7"/>
      <c r="D27" s="71"/>
      <c r="E27" s="20"/>
      <c r="F27" s="71">
        <f>'Cost Input'!$J32</f>
        <v>3000</v>
      </c>
      <c r="G27" s="71">
        <f>'Cost Input'!$J32</f>
        <v>3000</v>
      </c>
      <c r="H27" s="71">
        <f>'Cost Input'!$J32</f>
        <v>3000</v>
      </c>
      <c r="I27" s="71">
        <f>'Cost Input'!$J32</f>
        <v>3000</v>
      </c>
      <c r="J27" s="71">
        <f>'Cost Input'!$J32</f>
        <v>3000</v>
      </c>
      <c r="K27" s="71">
        <f>'Cost Input'!$J32</f>
        <v>3000</v>
      </c>
      <c r="L27" s="71">
        <f>'Cost Input'!$J32</f>
        <v>3000</v>
      </c>
      <c r="M27" s="71">
        <f>'Cost Input'!$J32</f>
        <v>3000</v>
      </c>
      <c r="N27" s="71">
        <f>'Cost Input'!$J32</f>
        <v>3000</v>
      </c>
      <c r="O27" s="71">
        <f>'Cost Input'!$J32</f>
        <v>3000</v>
      </c>
    </row>
    <row r="28" spans="1:16" x14ac:dyDescent="0.2">
      <c r="A28" s="7" t="s">
        <v>162</v>
      </c>
      <c r="B28" s="7"/>
      <c r="C28" s="7"/>
      <c r="D28" s="71"/>
      <c r="E28" s="20"/>
      <c r="F28" s="85">
        <f t="shared" ref="F28:K28" ca="1" si="2">F26*F27/1000000</f>
        <v>161.70968972778786</v>
      </c>
      <c r="G28" s="85">
        <f t="shared" ca="1" si="2"/>
        <v>145.70725836521743</v>
      </c>
      <c r="H28" s="85">
        <f t="shared" ca="1" si="2"/>
        <v>135.4885281152315</v>
      </c>
      <c r="I28" s="85">
        <f t="shared" ca="1" si="2"/>
        <v>128.96250233583928</v>
      </c>
      <c r="J28" s="85">
        <f t="shared" ca="1" si="2"/>
        <v>124.90418564500533</v>
      </c>
      <c r="K28" s="85">
        <f t="shared" ca="1" si="2"/>
        <v>122.79092381341503</v>
      </c>
      <c r="L28" s="85">
        <f t="shared" ref="L28:O28" ca="1" si="3">L26*L27/1000000</f>
        <v>122.41390696612306</v>
      </c>
      <c r="M28" s="85">
        <f t="shared" ca="1" si="3"/>
        <v>121.80760717375492</v>
      </c>
      <c r="N28" s="85">
        <f t="shared" ca="1" si="3"/>
        <v>121.51501237325678</v>
      </c>
      <c r="O28" s="85">
        <f t="shared" ca="1" si="3"/>
        <v>121.2632608799378</v>
      </c>
    </row>
    <row r="29" spans="1:16" x14ac:dyDescent="0.2">
      <c r="A29" s="7" t="s">
        <v>128</v>
      </c>
      <c r="B29" s="7"/>
      <c r="C29" s="7"/>
      <c r="D29" s="71"/>
      <c r="E29" s="20"/>
      <c r="F29" s="71"/>
      <c r="G29" s="71"/>
      <c r="H29" s="71"/>
      <c r="I29" s="71"/>
      <c r="J29" s="71"/>
      <c r="K29" s="71"/>
      <c r="L29" s="71"/>
      <c r="M29" s="71"/>
      <c r="N29" s="71"/>
      <c r="O29" s="71"/>
    </row>
    <row r="30" spans="1:16" x14ac:dyDescent="0.2">
      <c r="A30" s="7" t="s">
        <v>129</v>
      </c>
      <c r="B30" s="7"/>
      <c r="C30" s="7"/>
      <c r="D30" s="71"/>
      <c r="E30" s="20"/>
      <c r="F30" s="71"/>
      <c r="G30" s="71"/>
      <c r="H30" s="71"/>
      <c r="I30" s="71"/>
      <c r="J30" s="71"/>
      <c r="K30" s="71"/>
      <c r="L30" s="71"/>
      <c r="M30" s="71"/>
      <c r="N30" s="71"/>
      <c r="O30" s="71"/>
    </row>
    <row r="31" spans="1:16" x14ac:dyDescent="0.2">
      <c r="A31" s="7" t="s">
        <v>130</v>
      </c>
      <c r="B31" s="7"/>
      <c r="C31" s="7"/>
      <c r="D31" s="71"/>
      <c r="E31" s="20"/>
      <c r="F31" s="183">
        <f ca="1">('Cost Input'!$J34/100*F41+'Cost Input'!$J35/100*(F50+F51))*'Manufacturing Cost Calculations'!F5/1000000</f>
        <v>49.365697991456685</v>
      </c>
      <c r="G31" s="183">
        <f ca="1">('Cost Input'!$J34/100*G41+'Cost Input'!$J35/100*(G50+G51))*'Manufacturing Cost Calculations'!G5/1000000</f>
        <v>38.768921458041383</v>
      </c>
      <c r="H31" s="183">
        <f ca="1">('Cost Input'!$J34/100*H41+'Cost Input'!$J35/100*(H50+H51))*'Manufacturing Cost Calculations'!H5/1000000</f>
        <v>32.914653093501379</v>
      </c>
      <c r="I31" s="183">
        <f ca="1">('Cost Input'!$J34/100*I41+'Cost Input'!$J35/100*(I50+I51))*'Manufacturing Cost Calculations'!I5/1000000</f>
        <v>29.607135278455416</v>
      </c>
      <c r="J31" s="183">
        <f ca="1">('Cost Input'!$J34/100*J41+'Cost Input'!$J35/100*(J50+J51))*'Manufacturing Cost Calculations'!J5/1000000</f>
        <v>27.875319549922068</v>
      </c>
      <c r="K31" s="183">
        <f ca="1">('Cost Input'!$J34/100*K41+'Cost Input'!$J35/100*(K50+K51))*'Manufacturing Cost Calculations'!K5/1000000</f>
        <v>26.911484984891757</v>
      </c>
      <c r="L31" s="183">
        <f ca="1">('Cost Input'!$J34/100*L41+'Cost Input'!$J35/100*(L50+L51))*'Manufacturing Cost Calculations'!L5/1000000</f>
        <v>26.551197843905928</v>
      </c>
      <c r="M31" s="183">
        <f ca="1">('Cost Input'!$J34/100*M41+'Cost Input'!$J35/100*(M50+M51))*'Manufacturing Cost Calculations'!M5/1000000</f>
        <v>26.140047492826035</v>
      </c>
      <c r="N31" s="183">
        <f ca="1">('Cost Input'!$J34/100*N41+'Cost Input'!$J35/100*(N50+N51))*'Manufacturing Cost Calculations'!N5/1000000</f>
        <v>25.872801501174635</v>
      </c>
      <c r="O31" s="183">
        <f ca="1">('Cost Input'!$J34/100*O41+'Cost Input'!$J35/100*(O50+O51))*'Manufacturing Cost Calculations'!O5/1000000</f>
        <v>25.644320753638855</v>
      </c>
    </row>
    <row r="32" spans="1:16" x14ac:dyDescent="0.2">
      <c r="A32" s="252" t="s">
        <v>492</v>
      </c>
      <c r="B32" s="7"/>
      <c r="C32" s="7"/>
      <c r="D32" s="71"/>
      <c r="E32" s="20"/>
      <c r="F32" s="183">
        <f ca="1">F52*'Manufacturing Cost Calculations'!F5/1000000*'Cost Input'!$J$36/100</f>
        <v>139.14737988938066</v>
      </c>
      <c r="G32" s="183">
        <f ca="1">G52*'Manufacturing Cost Calculations'!G5/1000000*'Cost Input'!$J$36/100</f>
        <v>108.11856760992511</v>
      </c>
      <c r="H32" s="183">
        <f ca="1">H52*'Manufacturing Cost Calculations'!H5/1000000*'Cost Input'!$J$36/100</f>
        <v>91.066023056355974</v>
      </c>
      <c r="I32" s="183">
        <f ca="1">I52*'Manufacturing Cost Calculations'!I5/1000000*'Cost Input'!$J$36/100</f>
        <v>81.483223567845911</v>
      </c>
      <c r="J32" s="183">
        <f ca="1">J52*'Manufacturing Cost Calculations'!J5/1000000*'Cost Input'!$J$36/100</f>
        <v>76.509958137049537</v>
      </c>
      <c r="K32" s="183">
        <f ca="1">K52*'Manufacturing Cost Calculations'!K5/1000000*'Cost Input'!$J$36/100</f>
        <v>73.734040754589245</v>
      </c>
      <c r="L32" s="183">
        <f ca="1">L52*'Manufacturing Cost Calculations'!L5/1000000*'Cost Input'!$J$36/100</f>
        <v>72.668670929526797</v>
      </c>
      <c r="M32" s="183">
        <f ca="1">M52*'Manufacturing Cost Calculations'!M5/1000000*'Cost Input'!$J$36/100</f>
        <v>71.460525961071937</v>
      </c>
      <c r="N32" s="183">
        <f ca="1">N52*'Manufacturing Cost Calculations'!N5/1000000*'Cost Input'!$J$36/100</f>
        <v>70.670804917172205</v>
      </c>
      <c r="O32" s="183">
        <f ca="1">O52*'Manufacturing Cost Calculations'!O5/1000000*'Cost Input'!$J$36/100</f>
        <v>69.995700450167746</v>
      </c>
    </row>
    <row r="33" spans="1:15" x14ac:dyDescent="0.2">
      <c r="A33" s="7" t="s">
        <v>164</v>
      </c>
      <c r="B33" s="7"/>
      <c r="C33" s="7"/>
      <c r="D33" s="71"/>
      <c r="E33" s="20"/>
      <c r="F33" s="183">
        <f t="shared" ref="F33:K33" ca="1" si="4">F24+F28+F31+F32</f>
        <v>814.88481561746528</v>
      </c>
      <c r="G33" s="183">
        <f t="shared" ca="1" si="4"/>
        <v>726.53572095726042</v>
      </c>
      <c r="H33" s="183">
        <f t="shared" ca="1" si="4"/>
        <v>673.26367735839744</v>
      </c>
      <c r="I33" s="183">
        <f t="shared" ca="1" si="4"/>
        <v>640.64874554166579</v>
      </c>
      <c r="J33" s="183">
        <f t="shared" ca="1" si="4"/>
        <v>621.89080729784587</v>
      </c>
      <c r="K33" s="183">
        <f t="shared" ca="1" si="4"/>
        <v>611.4583799643766</v>
      </c>
      <c r="L33" s="183">
        <f t="shared" ref="L33:O33" ca="1" si="5">L24+L28+L31+L32</f>
        <v>608.27998944284639</v>
      </c>
      <c r="M33" s="183">
        <f t="shared" ca="1" si="5"/>
        <v>603.97914236789484</v>
      </c>
      <c r="N33" s="183">
        <f t="shared" ca="1" si="5"/>
        <v>601.5598036780932</v>
      </c>
      <c r="O33" s="183">
        <f t="shared" ca="1" si="5"/>
        <v>599.48340340539505</v>
      </c>
    </row>
    <row r="34" spans="1:15" ht="15.75" x14ac:dyDescent="0.25">
      <c r="A34" s="18" t="s">
        <v>155</v>
      </c>
      <c r="B34" s="5"/>
      <c r="C34" s="5"/>
      <c r="D34" s="71"/>
      <c r="E34" s="20"/>
      <c r="F34" s="86"/>
      <c r="G34" s="86"/>
      <c r="H34" s="86"/>
      <c r="I34" s="86"/>
      <c r="J34" s="86"/>
      <c r="K34" s="86"/>
      <c r="L34" s="86"/>
      <c r="M34" s="86"/>
      <c r="N34" s="86"/>
      <c r="O34" s="86"/>
    </row>
    <row r="35" spans="1:15" x14ac:dyDescent="0.2">
      <c r="A35" s="75" t="s">
        <v>180</v>
      </c>
      <c r="B35" s="75"/>
      <c r="C35" s="75"/>
      <c r="D35" s="71"/>
      <c r="E35" s="20"/>
      <c r="F35" s="71"/>
      <c r="G35" s="71"/>
      <c r="H35" s="71"/>
      <c r="I35" s="71"/>
      <c r="J35" s="71"/>
      <c r="K35" s="71"/>
      <c r="L35" s="71"/>
      <c r="M35" s="71"/>
      <c r="N35" s="71"/>
      <c r="O35" s="71"/>
    </row>
    <row r="36" spans="1:15" x14ac:dyDescent="0.2">
      <c r="A36" s="7" t="s">
        <v>131</v>
      </c>
      <c r="B36" s="7"/>
      <c r="C36" s="7"/>
      <c r="D36" s="71"/>
      <c r="E36" s="20"/>
      <c r="F36" s="71"/>
      <c r="G36" s="71"/>
      <c r="H36" s="71"/>
      <c r="I36" s="71"/>
      <c r="J36" s="71"/>
      <c r="K36" s="71"/>
      <c r="L36" s="71"/>
      <c r="M36" s="71"/>
      <c r="N36" s="71"/>
      <c r="O36" s="71"/>
    </row>
    <row r="37" spans="1:15" x14ac:dyDescent="0.2">
      <c r="A37" s="7" t="s">
        <v>132</v>
      </c>
      <c r="B37" s="7"/>
      <c r="C37" s="7"/>
      <c r="D37" s="71"/>
      <c r="E37" s="20"/>
      <c r="F37" s="71">
        <f ca="1">SUM('Cost Breakdown'!F21:F27)</f>
        <v>7280.6926588439683</v>
      </c>
      <c r="G37" s="71">
        <f ca="1">SUM('Cost Breakdown'!G21:G27)</f>
        <v>5300.2338672759552</v>
      </c>
      <c r="H37" s="71">
        <f ca="1">SUM('Cost Breakdown'!H21:H27)</f>
        <v>4219.6757903161661</v>
      </c>
      <c r="I37" s="71">
        <f ca="1">SUM('Cost Breakdown'!I21:I27)</f>
        <v>3619.3521892116582</v>
      </c>
      <c r="J37" s="71">
        <f ca="1">SUM('Cost Breakdown'!J21:J27)</f>
        <v>3304.7947481235924</v>
      </c>
      <c r="K37" s="71">
        <f ca="1">SUM('Cost Breakdown'!K21:K27)</f>
        <v>3138.401688260396</v>
      </c>
      <c r="L37" s="71">
        <f ca="1">SUM('Cost Breakdown'!L21:L27)</f>
        <v>3082.5682465835639</v>
      </c>
      <c r="M37" s="71">
        <f ca="1">SUM('Cost Breakdown'!M21:M27)</f>
        <v>3013.4604840174752</v>
      </c>
      <c r="N37" s="71">
        <f ca="1">SUM('Cost Breakdown'!N21:N27)</f>
        <v>2970.9537043341611</v>
      </c>
      <c r="O37" s="71">
        <f ca="1">SUM('Cost Breakdown'!O21:O27)</f>
        <v>2934.6211694468434</v>
      </c>
    </row>
    <row r="38" spans="1:15" x14ac:dyDescent="0.2">
      <c r="A38" s="7" t="s">
        <v>133</v>
      </c>
      <c r="B38" s="7"/>
      <c r="C38" s="7"/>
      <c r="D38" s="71"/>
      <c r="E38" s="20"/>
      <c r="F38" s="71">
        <f ca="1">'Cost Breakdown'!F28</f>
        <v>160.09336727854296</v>
      </c>
      <c r="G38" s="71">
        <f ca="1">'Cost Breakdown'!G28</f>
        <v>159.6580880164511</v>
      </c>
      <c r="H38" s="71">
        <f ca="1">'Cost Breakdown'!H28</f>
        <v>159.53189191984114</v>
      </c>
      <c r="I38" s="71">
        <f ca="1">'Cost Breakdown'!I28</f>
        <v>158.44180610257763</v>
      </c>
      <c r="J38" s="71">
        <f ca="1">'Cost Breakdown'!J28</f>
        <v>158.97215103482196</v>
      </c>
      <c r="K38" s="71">
        <f ca="1">'Cost Breakdown'!K28</f>
        <v>156.82697915111859</v>
      </c>
      <c r="L38" s="71">
        <f ca="1">'Cost Breakdown'!L28</f>
        <v>156.40956501063332</v>
      </c>
      <c r="M38" s="71">
        <f ca="1">'Cost Breakdown'!M28</f>
        <v>159.29670123563744</v>
      </c>
      <c r="N38" s="71">
        <f ca="1">'Cost Breakdown'!N28</f>
        <v>158.93395985284099</v>
      </c>
      <c r="O38" s="71">
        <f ca="1">'Cost Breakdown'!O28</f>
        <v>158.62345351252779</v>
      </c>
    </row>
    <row r="39" spans="1:15" x14ac:dyDescent="0.2">
      <c r="A39" s="7" t="s">
        <v>345</v>
      </c>
      <c r="B39" s="7"/>
      <c r="C39" s="7"/>
      <c r="D39" s="71"/>
      <c r="E39" s="20"/>
      <c r="F39" s="71">
        <f ca="1">'Manufacturing Cost Calculations'!F96*'Battery Design'!F62</f>
        <v>934.40660192800863</v>
      </c>
      <c r="G39" s="71">
        <f ca="1">'Manufacturing Cost Calculations'!G96*'Battery Design'!G62</f>
        <v>928.73434464481181</v>
      </c>
      <c r="H39" s="71">
        <f ca="1">'Manufacturing Cost Calculations'!H96*'Battery Design'!H62</f>
        <v>924.44797600342531</v>
      </c>
      <c r="I39" s="71">
        <f ca="1">'Manufacturing Cost Calculations'!I96*'Battery Design'!I62</f>
        <v>919.52170222344876</v>
      </c>
      <c r="J39" s="71">
        <f ca="1">'Manufacturing Cost Calculations'!J96*'Battery Design'!J62</f>
        <v>922.42345631814965</v>
      </c>
      <c r="K39" s="71">
        <f ca="1">'Manufacturing Cost Calculations'!K96*'Battery Design'!K62</f>
        <v>916.1613611118695</v>
      </c>
      <c r="L39" s="71">
        <f ca="1">'Manufacturing Cost Calculations'!L96*'Battery Design'!L62</f>
        <v>906.63260418204516</v>
      </c>
      <c r="M39" s="71">
        <f ca="1">'Manufacturing Cost Calculations'!M96*'Battery Design'!M62</f>
        <v>897.80154672107312</v>
      </c>
      <c r="N39" s="71">
        <f ca="1">'Manufacturing Cost Calculations'!N96*'Battery Design'!N62</f>
        <v>890.51104228670499</v>
      </c>
      <c r="O39" s="71">
        <f ca="1">'Manufacturing Cost Calculations'!O96*'Battery Design'!O62</f>
        <v>884.28186907438044</v>
      </c>
    </row>
    <row r="40" spans="1:15" x14ac:dyDescent="0.2">
      <c r="A40" s="7" t="s">
        <v>416</v>
      </c>
      <c r="B40" s="7"/>
      <c r="C40" s="7"/>
      <c r="D40" s="71"/>
      <c r="E40" s="20"/>
      <c r="F40" s="71">
        <f ca="1">'Manufacturing Cost Calculations'!F105</f>
        <v>304.65175893105419</v>
      </c>
      <c r="G40" s="71">
        <f ca="1">'Manufacturing Cost Calculations'!G105</f>
        <v>273.39842311054599</v>
      </c>
      <c r="H40" s="71">
        <f ca="1">'Manufacturing Cost Calculations'!H105</f>
        <v>255.55013057350783</v>
      </c>
      <c r="I40" s="71">
        <f ca="1">'Manufacturing Cost Calculations'!I105</f>
        <v>245.68705581579246</v>
      </c>
      <c r="J40" s="71">
        <f ca="1">'Manufacturing Cost Calculations'!J105</f>
        <v>240.07348614525762</v>
      </c>
      <c r="K40" s="71">
        <f ca="1">'Manufacturing Cost Calculations'!K105</f>
        <v>237.51840844376517</v>
      </c>
      <c r="L40" s="71">
        <f ca="1">'Manufacturing Cost Calculations'!L105</f>
        <v>233.30613937972052</v>
      </c>
      <c r="M40" s="71">
        <f ca="1">'Manufacturing Cost Calculations'!M105</f>
        <v>229.50189760353391</v>
      </c>
      <c r="N40" s="71">
        <f ca="1">'Manufacturing Cost Calculations'!N105</f>
        <v>227.81498224766011</v>
      </c>
      <c r="O40" s="71">
        <f ca="1">'Manufacturing Cost Calculations'!O105</f>
        <v>226.36941726084422</v>
      </c>
    </row>
    <row r="41" spans="1:15" x14ac:dyDescent="0.2">
      <c r="A41" s="7" t="s">
        <v>79</v>
      </c>
      <c r="B41" s="7"/>
      <c r="C41" s="7"/>
      <c r="D41" s="71"/>
      <c r="E41" s="20"/>
      <c r="F41" s="71">
        <f t="shared" ref="F41:K41" ca="1" si="6">SUM(F37:F40)</f>
        <v>8679.8443869815728</v>
      </c>
      <c r="G41" s="71">
        <f t="shared" ca="1" si="6"/>
        <v>6662.0247230477644</v>
      </c>
      <c r="H41" s="71">
        <f t="shared" ca="1" si="6"/>
        <v>5559.2057888129402</v>
      </c>
      <c r="I41" s="71">
        <f t="shared" ca="1" si="6"/>
        <v>4943.0027533534767</v>
      </c>
      <c r="J41" s="71">
        <f t="shared" ca="1" si="6"/>
        <v>4626.2638416218215</v>
      </c>
      <c r="K41" s="71">
        <f t="shared" ca="1" si="6"/>
        <v>4448.9084369671491</v>
      </c>
      <c r="L41" s="71">
        <f t="shared" ref="L41:O41" ca="1" si="7">SUM(L37:L40)</f>
        <v>4378.9165551559627</v>
      </c>
      <c r="M41" s="71">
        <f t="shared" ca="1" si="7"/>
        <v>4300.0606295777197</v>
      </c>
      <c r="N41" s="71">
        <f t="shared" ca="1" si="7"/>
        <v>4248.2136887213674</v>
      </c>
      <c r="O41" s="71">
        <f t="shared" ca="1" si="7"/>
        <v>4203.8959092945952</v>
      </c>
    </row>
    <row r="42" spans="1:15" x14ac:dyDescent="0.2">
      <c r="A42" s="252" t="s">
        <v>493</v>
      </c>
      <c r="B42" s="7"/>
      <c r="C42" s="7">
        <f>'Cost Input'!J39</f>
        <v>18</v>
      </c>
      <c r="D42" s="41" t="s">
        <v>494</v>
      </c>
      <c r="E42" s="20"/>
      <c r="F42" s="71"/>
      <c r="G42" s="71"/>
      <c r="H42" s="71"/>
      <c r="I42" s="71"/>
      <c r="J42" s="71"/>
      <c r="K42" s="71"/>
      <c r="L42" s="71"/>
      <c r="M42" s="71"/>
      <c r="N42" s="71"/>
      <c r="O42" s="71"/>
    </row>
    <row r="43" spans="1:15" x14ac:dyDescent="0.2">
      <c r="A43" s="7" t="s">
        <v>134</v>
      </c>
      <c r="B43" s="7"/>
      <c r="C43" s="7"/>
      <c r="D43" s="71"/>
      <c r="E43" s="20"/>
      <c r="F43" s="71">
        <f ca="1">'Cost Input'!$J$39/'Manufacturing Cost Calculations'!F$5*('Manufacturing Cost Calculations'!F136+'Manufacturing Cost Calculations'!F141+'Manufacturing Cost Calculations'!F148+'Manufacturing Cost Calculations'!F154+'Manufacturing Cost Calculations'!F159+'Manufacturing Cost Calculations'!F165+'Manufacturing Cost Calculations'!F170+'Manufacturing Cost Calculations'!F175+'Manufacturing Cost Calculations'!F180+'Manufacturing Cost Calculations'!F185)</f>
        <v>109.85572713284405</v>
      </c>
      <c r="G43" s="71">
        <f ca="1">'Cost Input'!$J$39/'Manufacturing Cost Calculations'!G$5*('Manufacturing Cost Calculations'!G136+'Manufacturing Cost Calculations'!G141+'Manufacturing Cost Calculations'!G148+'Manufacturing Cost Calculations'!G154+'Manufacturing Cost Calculations'!G159+'Manufacturing Cost Calculations'!G165+'Manufacturing Cost Calculations'!G170+'Manufacturing Cost Calculations'!G175+'Manufacturing Cost Calculations'!G180+'Manufacturing Cost Calculations'!G185)</f>
        <v>82.216799586429417</v>
      </c>
      <c r="H43" s="71">
        <f ca="1">'Cost Input'!$J$39/'Manufacturing Cost Calculations'!H$5*('Manufacturing Cost Calculations'!H136+'Manufacturing Cost Calculations'!H141+'Manufacturing Cost Calculations'!H148+'Manufacturing Cost Calculations'!H154+'Manufacturing Cost Calculations'!H159+'Manufacturing Cost Calculations'!H165+'Manufacturing Cost Calculations'!H170+'Manufacturing Cost Calculations'!H175+'Manufacturing Cost Calculations'!H180+'Manufacturing Cost Calculations'!H185)</f>
        <v>63.562206758290884</v>
      </c>
      <c r="I43" s="71">
        <f ca="1">'Cost Input'!$J$39/'Manufacturing Cost Calculations'!I$5*('Manufacturing Cost Calculations'!I136+'Manufacturing Cost Calculations'!I141+'Manufacturing Cost Calculations'!I148+'Manufacturing Cost Calculations'!I154+'Manufacturing Cost Calculations'!I159+'Manufacturing Cost Calculations'!I165+'Manufacturing Cost Calculations'!I170+'Manufacturing Cost Calculations'!I175+'Manufacturing Cost Calculations'!I180+'Manufacturing Cost Calculations'!I185)</f>
        <v>51.072263579592004</v>
      </c>
      <c r="J43" s="71">
        <f ca="1">'Cost Input'!$J$39/'Manufacturing Cost Calculations'!J$5*('Manufacturing Cost Calculations'!J136+'Manufacturing Cost Calculations'!J141+'Manufacturing Cost Calculations'!J148+'Manufacturing Cost Calculations'!J154+'Manufacturing Cost Calculations'!J159+'Manufacturing Cost Calculations'!J165+'Manufacturing Cost Calculations'!J170+'Manufacturing Cost Calculations'!J175+'Manufacturing Cost Calculations'!J180+'Manufacturing Cost Calculations'!J185)</f>
        <v>42.739947857843291</v>
      </c>
      <c r="K43" s="71">
        <f ca="1">'Cost Input'!$J$39/'Manufacturing Cost Calculations'!K$5*('Manufacturing Cost Calculations'!K136+'Manufacturing Cost Calculations'!K141+'Manufacturing Cost Calculations'!K148+'Manufacturing Cost Calculations'!K154+'Manufacturing Cost Calculations'!K159+'Manufacturing Cost Calculations'!K165+'Manufacturing Cost Calculations'!K170+'Manufacturing Cost Calculations'!K175+'Manufacturing Cost Calculations'!K180+'Manufacturing Cost Calculations'!K185)</f>
        <v>38.504712005366308</v>
      </c>
      <c r="L43" s="71">
        <f ca="1">'Cost Input'!$J$39/'Manufacturing Cost Calculations'!L$5*('Manufacturing Cost Calculations'!L136+'Manufacturing Cost Calculations'!L141+'Manufacturing Cost Calculations'!L148+'Manufacturing Cost Calculations'!L154+'Manufacturing Cost Calculations'!L159+'Manufacturing Cost Calculations'!L165+'Manufacturing Cost Calculations'!L170+'Manufacturing Cost Calculations'!L175+'Manufacturing Cost Calculations'!L180+'Manufacturing Cost Calculations'!L185)</f>
        <v>38.12360166730177</v>
      </c>
      <c r="M43" s="71">
        <f ca="1">'Cost Input'!$J$39/'Manufacturing Cost Calculations'!M$5*('Manufacturing Cost Calculations'!M136+'Manufacturing Cost Calculations'!M141+'Manufacturing Cost Calculations'!M148+'Manufacturing Cost Calculations'!M154+'Manufacturing Cost Calculations'!M159+'Manufacturing Cost Calculations'!M165+'Manufacturing Cost Calculations'!M170+'Manufacturing Cost Calculations'!M175+'Manufacturing Cost Calculations'!M180+'Manufacturing Cost Calculations'!M185)</f>
        <v>37.638153286093697</v>
      </c>
      <c r="N43" s="71">
        <f ca="1">'Cost Input'!$J$39/'Manufacturing Cost Calculations'!N$5*('Manufacturing Cost Calculations'!N136+'Manufacturing Cost Calculations'!N141+'Manufacturing Cost Calculations'!N148+'Manufacturing Cost Calculations'!N154+'Manufacturing Cost Calculations'!N159+'Manufacturing Cost Calculations'!N165+'Manufacturing Cost Calculations'!N170+'Manufacturing Cost Calculations'!N175+'Manufacturing Cost Calculations'!N180+'Manufacturing Cost Calculations'!N185)</f>
        <v>37.343154581584358</v>
      </c>
      <c r="O43" s="71">
        <f ca="1">'Cost Input'!$J$39/'Manufacturing Cost Calculations'!O$5*('Manufacturing Cost Calculations'!O136+'Manufacturing Cost Calculations'!O141+'Manufacturing Cost Calculations'!O148+'Manufacturing Cost Calculations'!O154+'Manufacturing Cost Calculations'!O159+'Manufacturing Cost Calculations'!O165+'Manufacturing Cost Calculations'!O170+'Manufacturing Cost Calculations'!O175+'Manufacturing Cost Calculations'!O180+'Manufacturing Cost Calculations'!O185)</f>
        <v>37.089561742724939</v>
      </c>
    </row>
    <row r="44" spans="1:15" x14ac:dyDescent="0.2">
      <c r="A44" s="7" t="s">
        <v>135</v>
      </c>
      <c r="B44" s="7"/>
      <c r="C44" s="7"/>
      <c r="D44" s="71"/>
      <c r="E44" s="20"/>
      <c r="F44" s="71">
        <f ca="1">'Cost Input'!$J$39/'Manufacturing Cost Calculations'!F$5*('Manufacturing Cost Calculations'!F197+'Manufacturing Cost Calculations'!F202+'Manufacturing Cost Calculations'!F207+'Manufacturing Cost Calculations'!F212+'Manufacturing Cost Calculations'!F217)</f>
        <v>59.234882546578156</v>
      </c>
      <c r="G44" s="71">
        <f ca="1">'Cost Input'!$J$39/'Manufacturing Cost Calculations'!G$5*('Manufacturing Cost Calculations'!G197+'Manufacturing Cost Calculations'!G202+'Manufacturing Cost Calculations'!G207+'Manufacturing Cost Calculations'!G212+'Manufacturing Cost Calculations'!G217)</f>
        <v>59.068652886521924</v>
      </c>
      <c r="H44" s="71">
        <f ca="1">'Cost Input'!$J$39/'Manufacturing Cost Calculations'!H$5*('Manufacturing Cost Calculations'!H197+'Manufacturing Cost Calculations'!H202+'Manufacturing Cost Calculations'!H207+'Manufacturing Cost Calculations'!H212+'Manufacturing Cost Calculations'!H217)</f>
        <v>58.951819880271934</v>
      </c>
      <c r="I44" s="71">
        <f ca="1">'Cost Input'!$J$39/'Manufacturing Cost Calculations'!I$5*('Manufacturing Cost Calculations'!I197+'Manufacturing Cost Calculations'!I202+'Manufacturing Cost Calculations'!I207+'Manufacturing Cost Calculations'!I212+'Manufacturing Cost Calculations'!I217)</f>
        <v>58.871669045165412</v>
      </c>
      <c r="J44" s="71">
        <f ca="1">'Cost Input'!$J$39/'Manufacturing Cost Calculations'!J$5*('Manufacturing Cost Calculations'!J197+'Manufacturing Cost Calculations'!J202+'Manufacturing Cost Calculations'!J207+'Manufacturing Cost Calculations'!J212+'Manufacturing Cost Calculations'!J217)</f>
        <v>58.817242966961828</v>
      </c>
      <c r="K44" s="71">
        <f ca="1">'Cost Input'!$J$39/'Manufacturing Cost Calculations'!K$5*('Manufacturing Cost Calculations'!K197+'Manufacturing Cost Calculations'!K202+'Manufacturing Cost Calculations'!K207+'Manufacturing Cost Calculations'!K212+'Manufacturing Cost Calculations'!K217)</f>
        <v>58.789652528430089</v>
      </c>
      <c r="L44" s="71">
        <f ca="1">'Cost Input'!$J$39/'Manufacturing Cost Calculations'!L$5*('Manufacturing Cost Calculations'!L197+'Manufacturing Cost Calculations'!L202+'Manufacturing Cost Calculations'!L207+'Manufacturing Cost Calculations'!L212+'Manufacturing Cost Calculations'!L217)</f>
        <v>58.787549100631246</v>
      </c>
      <c r="M44" s="71">
        <f ca="1">'Cost Input'!$J$39/'Manufacturing Cost Calculations'!M$5*('Manufacturing Cost Calculations'!M197+'Manufacturing Cost Calculations'!M202+'Manufacturing Cost Calculations'!M207+'Manufacturing Cost Calculations'!M212+'Manufacturing Cost Calculations'!M217)</f>
        <v>58.784870184985067</v>
      </c>
      <c r="N44" s="71">
        <f ca="1">'Cost Input'!$J$39/'Manufacturing Cost Calculations'!N$5*('Manufacturing Cost Calculations'!N197+'Manufacturing Cost Calculations'!N202+'Manufacturing Cost Calculations'!N207+'Manufacturing Cost Calculations'!N212+'Manufacturing Cost Calculations'!N217)</f>
        <v>58.783242480687647</v>
      </c>
      <c r="O44" s="71">
        <f ca="1">'Cost Input'!$J$39/'Manufacturing Cost Calculations'!O$5*('Manufacturing Cost Calculations'!O197+'Manufacturing Cost Calculations'!O202+'Manufacturing Cost Calculations'!O207+'Manufacturing Cost Calculations'!O212+'Manufacturing Cost Calculations'!O217)</f>
        <v>58.781843389132725</v>
      </c>
    </row>
    <row r="45" spans="1:15" x14ac:dyDescent="0.2">
      <c r="A45" s="7" t="s">
        <v>325</v>
      </c>
      <c r="B45" s="7"/>
      <c r="C45" s="7"/>
      <c r="D45" s="71"/>
      <c r="E45" s="20"/>
      <c r="F45" s="71">
        <f>'Cost Input'!$J$39/'Manufacturing Cost Calculations'!F$5*('Manufacturing Cost Calculations'!F223+'Manufacturing Cost Calculations'!F228+'Manufacturing Cost Calculations'!F233)</f>
        <v>39.314717217977403</v>
      </c>
      <c r="G45" s="71">
        <f>'Cost Input'!$J$39/'Manufacturing Cost Calculations'!G$5*('Manufacturing Cost Calculations'!G223+'Manufacturing Cost Calculations'!G228+'Manufacturing Cost Calculations'!G233)</f>
        <v>39.314717217977403</v>
      </c>
      <c r="H45" s="71">
        <f>'Cost Input'!$J$39/'Manufacturing Cost Calculations'!H$5*('Manufacturing Cost Calculations'!H223+'Manufacturing Cost Calculations'!H228+'Manufacturing Cost Calculations'!H233)</f>
        <v>39.314717217977403</v>
      </c>
      <c r="I45" s="71">
        <f>'Cost Input'!$J$39/'Manufacturing Cost Calculations'!I$5*('Manufacturing Cost Calculations'!I223+'Manufacturing Cost Calculations'!I228+'Manufacturing Cost Calculations'!I233)</f>
        <v>39.314717217977403</v>
      </c>
      <c r="J45" s="71">
        <f>'Cost Input'!$J$39/'Manufacturing Cost Calculations'!J$5*('Manufacturing Cost Calculations'!J223+'Manufacturing Cost Calculations'!J228+'Manufacturing Cost Calculations'!J233)</f>
        <v>39.314717217977403</v>
      </c>
      <c r="K45" s="71">
        <f>'Cost Input'!$J$39/'Manufacturing Cost Calculations'!K$5*('Manufacturing Cost Calculations'!K223+'Manufacturing Cost Calculations'!K228+'Manufacturing Cost Calculations'!K233)</f>
        <v>39.314717217977403</v>
      </c>
      <c r="L45" s="71">
        <f>'Cost Input'!$J$39/'Manufacturing Cost Calculations'!L$5*('Manufacturing Cost Calculations'!L223+'Manufacturing Cost Calculations'!L228+'Manufacturing Cost Calculations'!L233)</f>
        <v>39.314717217977403</v>
      </c>
      <c r="M45" s="71">
        <f>'Cost Input'!$J$39/'Manufacturing Cost Calculations'!M$5*('Manufacturing Cost Calculations'!M223+'Manufacturing Cost Calculations'!M228+'Manufacturing Cost Calculations'!M233)</f>
        <v>39.314717217977403</v>
      </c>
      <c r="N45" s="71">
        <f>'Cost Input'!$J$39/'Manufacturing Cost Calculations'!N$5*('Manufacturing Cost Calculations'!N223+'Manufacturing Cost Calculations'!N228+'Manufacturing Cost Calculations'!N233)</f>
        <v>39.314717217977403</v>
      </c>
      <c r="O45" s="71">
        <f>'Cost Input'!$J$39/'Manufacturing Cost Calculations'!O$5*('Manufacturing Cost Calculations'!O223+'Manufacturing Cost Calculations'!O228+'Manufacturing Cost Calculations'!O233)</f>
        <v>39.314717217977403</v>
      </c>
    </row>
    <row r="46" spans="1:15" x14ac:dyDescent="0.2">
      <c r="A46" s="7" t="s">
        <v>136</v>
      </c>
      <c r="B46" s="7"/>
      <c r="C46" s="7"/>
      <c r="D46" s="71"/>
      <c r="E46" s="20"/>
      <c r="F46" s="71">
        <f>'Cost Input'!$J$39/'Manufacturing Cost Calculations'!F$5*('Manufacturing Cost Calculations'!F238+'Manufacturing Cost Calculations'!F244)</f>
        <v>31.104000000000003</v>
      </c>
      <c r="G46" s="71">
        <f>'Cost Input'!$J$39/'Manufacturing Cost Calculations'!G$5*('Manufacturing Cost Calculations'!G238+'Manufacturing Cost Calculations'!G244)</f>
        <v>31.104000000000003</v>
      </c>
      <c r="H46" s="71">
        <f>'Cost Input'!$J$39/'Manufacturing Cost Calculations'!H$5*('Manufacturing Cost Calculations'!H238+'Manufacturing Cost Calculations'!H244)</f>
        <v>31.104000000000003</v>
      </c>
      <c r="I46" s="71">
        <f>'Cost Input'!$J$39/'Manufacturing Cost Calculations'!I$5*('Manufacturing Cost Calculations'!I238+'Manufacturing Cost Calculations'!I244)</f>
        <v>31.104000000000003</v>
      </c>
      <c r="J46" s="71">
        <f>'Cost Input'!$J$39/'Manufacturing Cost Calculations'!J$5*('Manufacturing Cost Calculations'!J238+'Manufacturing Cost Calculations'!J244)</f>
        <v>31.104000000000003</v>
      </c>
      <c r="K46" s="71">
        <f>'Cost Input'!$J$39/'Manufacturing Cost Calculations'!K$5*('Manufacturing Cost Calculations'!K238+'Manufacturing Cost Calculations'!K244)</f>
        <v>31.104000000000003</v>
      </c>
      <c r="L46" s="71">
        <f>'Cost Input'!$J$39/'Manufacturing Cost Calculations'!L$5*('Manufacturing Cost Calculations'!L238+'Manufacturing Cost Calculations'!L244)</f>
        <v>31.104000000000003</v>
      </c>
      <c r="M46" s="71">
        <f>'Cost Input'!$J$39/'Manufacturing Cost Calculations'!M$5*('Manufacturing Cost Calculations'!M238+'Manufacturing Cost Calculations'!M244)</f>
        <v>31.104000000000003</v>
      </c>
      <c r="N46" s="71">
        <f>'Cost Input'!$J$39/'Manufacturing Cost Calculations'!N$5*('Manufacturing Cost Calculations'!N238+'Manufacturing Cost Calculations'!N244)</f>
        <v>31.104000000000003</v>
      </c>
      <c r="O46" s="71">
        <f>'Cost Input'!$J$39/'Manufacturing Cost Calculations'!O$5*('Manufacturing Cost Calculations'!O238+'Manufacturing Cost Calculations'!O244)</f>
        <v>31.104000000000003</v>
      </c>
    </row>
    <row r="47" spans="1:15" x14ac:dyDescent="0.2">
      <c r="A47" s="7" t="s">
        <v>438</v>
      </c>
      <c r="B47" s="7"/>
      <c r="C47" s="7"/>
      <c r="D47" s="71"/>
      <c r="E47" s="20"/>
      <c r="F47" s="71">
        <f>'Cost Input'!$J$39/'Manufacturing Cost Calculations'!F$5*('Manufacturing Cost Calculations'!F249)</f>
        <v>17.100822523616721</v>
      </c>
      <c r="G47" s="71">
        <f>'Cost Input'!$J$39/'Manufacturing Cost Calculations'!G$5*('Manufacturing Cost Calculations'!G249)</f>
        <v>17.100822523616721</v>
      </c>
      <c r="H47" s="71">
        <f>'Cost Input'!$J$39/'Manufacturing Cost Calculations'!H$5*('Manufacturing Cost Calculations'!H249)</f>
        <v>17.100822523616721</v>
      </c>
      <c r="I47" s="71">
        <f>'Cost Input'!$J$39/'Manufacturing Cost Calculations'!I$5*('Manufacturing Cost Calculations'!I249)</f>
        <v>17.100822523616721</v>
      </c>
      <c r="J47" s="71">
        <f>'Cost Input'!$J$39/'Manufacturing Cost Calculations'!J$5*('Manufacturing Cost Calculations'!J249)</f>
        <v>17.100822523616721</v>
      </c>
      <c r="K47" s="71">
        <f>'Cost Input'!$J$39/'Manufacturing Cost Calculations'!K$5*('Manufacturing Cost Calculations'!K249)</f>
        <v>17.100822523616721</v>
      </c>
      <c r="L47" s="71">
        <f>'Cost Input'!$J$39/'Manufacturing Cost Calculations'!L$5*('Manufacturing Cost Calculations'!L249)</f>
        <v>17.100822523616721</v>
      </c>
      <c r="M47" s="71">
        <f>'Cost Input'!$J$39/'Manufacturing Cost Calculations'!M$5*('Manufacturing Cost Calculations'!M249)</f>
        <v>17.100822523616721</v>
      </c>
      <c r="N47" s="71">
        <f>'Cost Input'!$J$39/'Manufacturing Cost Calculations'!N$5*('Manufacturing Cost Calculations'!N249)</f>
        <v>17.100822523616721</v>
      </c>
      <c r="O47" s="71">
        <f>'Cost Input'!$J$39/'Manufacturing Cost Calculations'!O$5*('Manufacturing Cost Calculations'!O249)</f>
        <v>17.100822523616721</v>
      </c>
    </row>
    <row r="48" spans="1:15" x14ac:dyDescent="0.2">
      <c r="A48" s="7" t="s">
        <v>137</v>
      </c>
      <c r="B48" s="7"/>
      <c r="C48" s="7"/>
      <c r="D48" s="71"/>
      <c r="E48" s="20"/>
      <c r="F48" s="71">
        <f>'Cost Input'!$J$39/'Manufacturing Cost Calculations'!F$5*('Manufacturing Cost Calculations'!F129+'Manufacturing Cost Calculations'!F254)</f>
        <v>27.491224123239572</v>
      </c>
      <c r="G48" s="71">
        <f>'Cost Input'!$J$39/'Manufacturing Cost Calculations'!G$5*('Manufacturing Cost Calculations'!G129+'Manufacturing Cost Calculations'!G254)</f>
        <v>27.491224123239572</v>
      </c>
      <c r="H48" s="71">
        <f>'Cost Input'!$J$39/'Manufacturing Cost Calculations'!H$5*('Manufacturing Cost Calculations'!H129+'Manufacturing Cost Calculations'!H254)</f>
        <v>27.491224123239572</v>
      </c>
      <c r="I48" s="71">
        <f>'Cost Input'!$J$39/'Manufacturing Cost Calculations'!I$5*('Manufacturing Cost Calculations'!I129+'Manufacturing Cost Calculations'!I254)</f>
        <v>27.491224123239572</v>
      </c>
      <c r="J48" s="71">
        <f>'Cost Input'!$J$39/'Manufacturing Cost Calculations'!J$5*('Manufacturing Cost Calculations'!J129+'Manufacturing Cost Calculations'!J254)</f>
        <v>27.491224123239572</v>
      </c>
      <c r="K48" s="71">
        <f>'Cost Input'!$J$39/'Manufacturing Cost Calculations'!K$5*('Manufacturing Cost Calculations'!K129+'Manufacturing Cost Calculations'!K254)</f>
        <v>27.491224123239572</v>
      </c>
      <c r="L48" s="71">
        <f>'Cost Input'!$J$39/'Manufacturing Cost Calculations'!L$5*('Manufacturing Cost Calculations'!L129+'Manufacturing Cost Calculations'!L254)</f>
        <v>27.491224123239572</v>
      </c>
      <c r="M48" s="71">
        <f>'Cost Input'!$J$39/'Manufacturing Cost Calculations'!M$5*('Manufacturing Cost Calculations'!M129+'Manufacturing Cost Calculations'!M254)</f>
        <v>27.389565973156589</v>
      </c>
      <c r="N48" s="71">
        <f>'Cost Input'!$J$39/'Manufacturing Cost Calculations'!N$5*('Manufacturing Cost Calculations'!N129+'Manufacturing Cost Calculations'!N254)</f>
        <v>27.389565973156589</v>
      </c>
      <c r="O48" s="71">
        <f>'Cost Input'!$J$39/'Manufacturing Cost Calculations'!O$5*('Manufacturing Cost Calculations'!O129+'Manufacturing Cost Calculations'!O254)</f>
        <v>27.389565973156589</v>
      </c>
    </row>
    <row r="49" spans="1:15" x14ac:dyDescent="0.2">
      <c r="A49" s="7" t="s">
        <v>326</v>
      </c>
      <c r="B49" s="7"/>
      <c r="C49" s="7"/>
      <c r="D49" s="71"/>
      <c r="E49" s="20"/>
      <c r="F49" s="71">
        <f>'Cost Input'!$J$39/'Manufacturing Cost Calculations'!F$5*('Manufacturing Cost Calculations'!F190)</f>
        <v>19.890974568440903</v>
      </c>
      <c r="G49" s="71">
        <f>'Cost Input'!$J$39/'Manufacturing Cost Calculations'!G$5*('Manufacturing Cost Calculations'!G190)</f>
        <v>19.890974568440903</v>
      </c>
      <c r="H49" s="71">
        <f>'Cost Input'!$J$39/'Manufacturing Cost Calculations'!H$5*('Manufacturing Cost Calculations'!H190)</f>
        <v>19.890974568440903</v>
      </c>
      <c r="I49" s="71">
        <f>'Cost Input'!$J$39/'Manufacturing Cost Calculations'!I$5*('Manufacturing Cost Calculations'!I190)</f>
        <v>19.890974568440903</v>
      </c>
      <c r="J49" s="71">
        <f>'Cost Input'!$J$39/'Manufacturing Cost Calculations'!J$5*('Manufacturing Cost Calculations'!J190)</f>
        <v>19.890974568440903</v>
      </c>
      <c r="K49" s="71">
        <f>'Cost Input'!$J$39/'Manufacturing Cost Calculations'!K$5*('Manufacturing Cost Calculations'!K190)</f>
        <v>19.890974568440903</v>
      </c>
      <c r="L49" s="71">
        <f>'Cost Input'!$J$39/'Manufacturing Cost Calculations'!L$5*('Manufacturing Cost Calculations'!L190)</f>
        <v>19.890974568440903</v>
      </c>
      <c r="M49" s="71">
        <f>'Cost Input'!$J$39/'Manufacturing Cost Calculations'!M$5*('Manufacturing Cost Calculations'!M190)</f>
        <v>19.813123097232662</v>
      </c>
      <c r="N49" s="71">
        <f>'Cost Input'!$J$39/'Manufacturing Cost Calculations'!N$5*('Manufacturing Cost Calculations'!N190)</f>
        <v>19.813123097232662</v>
      </c>
      <c r="O49" s="71">
        <f>'Cost Input'!$J$39/'Manufacturing Cost Calculations'!O$5*('Manufacturing Cost Calculations'!O190)</f>
        <v>19.813123097232662</v>
      </c>
    </row>
    <row r="50" spans="1:15" x14ac:dyDescent="0.2">
      <c r="A50" s="90" t="s">
        <v>138</v>
      </c>
      <c r="B50" s="90"/>
      <c r="C50" s="90"/>
      <c r="E50" s="20"/>
      <c r="F50" s="71">
        <f t="shared" ref="F50:K50" ca="1" si="8">SUM(F43:F49)</f>
        <v>303.99234811269685</v>
      </c>
      <c r="G50" s="71">
        <f t="shared" ca="1" si="8"/>
        <v>276.18719090622596</v>
      </c>
      <c r="H50" s="71">
        <f t="shared" ca="1" si="8"/>
        <v>257.41576507183743</v>
      </c>
      <c r="I50" s="71">
        <f t="shared" ca="1" si="8"/>
        <v>244.84567105803202</v>
      </c>
      <c r="J50" s="71">
        <f t="shared" ca="1" si="8"/>
        <v>236.45892925807973</v>
      </c>
      <c r="K50" s="71">
        <f t="shared" ca="1" si="8"/>
        <v>232.196102967071</v>
      </c>
      <c r="L50" s="71">
        <f t="shared" ref="L50:O50" ca="1" si="9">SUM(L43:L49)</f>
        <v>231.81288920120761</v>
      </c>
      <c r="M50" s="71">
        <f t="shared" ca="1" si="9"/>
        <v>231.14525228306218</v>
      </c>
      <c r="N50" s="71">
        <f t="shared" ca="1" si="9"/>
        <v>230.84862587425539</v>
      </c>
      <c r="O50" s="71">
        <f t="shared" ca="1" si="9"/>
        <v>230.59363394384104</v>
      </c>
    </row>
    <row r="51" spans="1:15" x14ac:dyDescent="0.2">
      <c r="A51" s="7" t="s">
        <v>139</v>
      </c>
      <c r="B51" s="7"/>
      <c r="C51" s="7"/>
      <c r="D51" s="91"/>
      <c r="E51" s="71"/>
      <c r="F51" s="125">
        <f ca="1">F50*'Cost Input'!$J41/100+'Cost Input'!$J42/100*'Summary of Results'!F56</f>
        <v>292.65525755396891</v>
      </c>
      <c r="G51" s="125">
        <f ca="1">G50*'Cost Input'!$J41/100+'Cost Input'!$J42/100*'Summary of Results'!G56</f>
        <v>269.69259337370738</v>
      </c>
      <c r="H51" s="125">
        <f ca="1">H50*'Cost Input'!$J41/100+'Cost Input'!$J42/100*'Summary of Results'!H56</f>
        <v>254.44664987136576</v>
      </c>
      <c r="I51" s="125">
        <f ca="1">I50*'Cost Input'!$J41/100+'Cost Input'!$J42/100*'Summary of Results'!I56</f>
        <v>244.3664801099797</v>
      </c>
      <c r="J51" s="125">
        <f ca="1">J50*'Cost Input'!$J41/100+'Cost Input'!$J42/100*'Summary of Results'!J56</f>
        <v>237.94110492302332</v>
      </c>
      <c r="K51" s="125">
        <f ca="1">K50*'Cost Input'!$J41/100+'Cost Input'!$J42/100*'Summary of Results'!K56</f>
        <v>234.4981770386635</v>
      </c>
      <c r="L51" s="125">
        <f ca="1">L50*'Cost Input'!$J41/100+'Cost Input'!$J42/100*'Summary of Results'!L56</f>
        <v>233.84861761152553</v>
      </c>
      <c r="M51" s="125">
        <f ca="1">M50*'Cost Input'!$J41/100+'Cost Input'!$J42/100*'Summary of Results'!M56</f>
        <v>232.82918221068101</v>
      </c>
      <c r="N51" s="125">
        <f ca="1">N50*'Cost Input'!$J41/100+'Cost Input'!$J42/100*'Summary of Results'!N56</f>
        <v>232.32467988252441</v>
      </c>
      <c r="O51" s="125">
        <f ca="1">O50*'Cost Input'!$J41/100+'Cost Input'!$J42/100*'Summary of Results'!O56</f>
        <v>231.89048677274707</v>
      </c>
    </row>
    <row r="52" spans="1:15" x14ac:dyDescent="0.2">
      <c r="A52" s="7" t="s">
        <v>140</v>
      </c>
      <c r="B52" s="7"/>
      <c r="C52" s="7"/>
      <c r="D52" s="91"/>
      <c r="E52" s="71"/>
      <c r="F52" s="125">
        <f t="shared" ref="F52:K52" ca="1" si="10">F41+F50+F51</f>
        <v>9276.491992648238</v>
      </c>
      <c r="G52" s="125">
        <f t="shared" ca="1" si="10"/>
        <v>7207.9045073276975</v>
      </c>
      <c r="H52" s="125">
        <f t="shared" ca="1" si="10"/>
        <v>6071.0682037561428</v>
      </c>
      <c r="I52" s="125">
        <f t="shared" ca="1" si="10"/>
        <v>5432.2149045214883</v>
      </c>
      <c r="J52" s="125">
        <f t="shared" ca="1" si="10"/>
        <v>5100.6638758029239</v>
      </c>
      <c r="K52" s="125">
        <f t="shared" ca="1" si="10"/>
        <v>4915.6027169728841</v>
      </c>
      <c r="L52" s="125">
        <f t="shared" ref="L52:O52" ca="1" si="11">L41+L50+L51</f>
        <v>4844.5780619686957</v>
      </c>
      <c r="M52" s="125">
        <f t="shared" ca="1" si="11"/>
        <v>4764.0350640714632</v>
      </c>
      <c r="N52" s="125">
        <f t="shared" ca="1" si="11"/>
        <v>4711.3869944781472</v>
      </c>
      <c r="O52" s="125">
        <f t="shared" ca="1" si="11"/>
        <v>4666.3800300111834</v>
      </c>
    </row>
    <row r="53" spans="1:15" x14ac:dyDescent="0.2">
      <c r="A53" s="75" t="s">
        <v>68</v>
      </c>
      <c r="B53" s="75"/>
      <c r="C53" s="75"/>
      <c r="D53" s="71"/>
      <c r="E53" s="71"/>
      <c r="F53" s="224"/>
      <c r="G53" s="224"/>
      <c r="H53" s="224"/>
      <c r="I53" s="224"/>
      <c r="J53" s="224"/>
      <c r="K53" s="224"/>
      <c r="L53" s="224"/>
      <c r="M53" s="224"/>
      <c r="N53" s="224"/>
      <c r="O53" s="224"/>
    </row>
    <row r="54" spans="1:15" x14ac:dyDescent="0.2">
      <c r="A54" s="7" t="s">
        <v>141</v>
      </c>
      <c r="B54" s="7"/>
      <c r="C54" s="7"/>
      <c r="D54" s="71"/>
      <c r="E54" s="71"/>
      <c r="F54" s="125">
        <f ca="1">'Cost Input'!$J45/100*(F50+F51)+'Cost Input'!$J46/100*F56</f>
        <v>362.98479930277909</v>
      </c>
      <c r="G54" s="125">
        <f ca="1">'Cost Input'!$J45/100*(G50+G51)+'Cost Input'!$J46/100*G56</f>
        <v>335.49209233400461</v>
      </c>
      <c r="H54" s="125">
        <f ca="1">'Cost Input'!$J45/100*(H50+H51)+'Cost Input'!$J46/100*H56</f>
        <v>317.31603353908929</v>
      </c>
      <c r="I54" s="125">
        <f ca="1">'Cost Input'!$J45/100*(I50+I51)+'Cost Input'!$J46/100*I56</f>
        <v>305.33830240046154</v>
      </c>
      <c r="J54" s="125">
        <f ca="1">'Cost Input'!$J45/100*(J50+J51)+'Cost Input'!$J46/100*J56</f>
        <v>297.79692507001499</v>
      </c>
      <c r="K54" s="125">
        <f ca="1">'Cost Input'!$J45/100*(K50+K51)+'Cost Input'!$J46/100*K56</f>
        <v>293.69823981622744</v>
      </c>
      <c r="L54" s="125">
        <f ca="1">'Cost Input'!$J45/100*(L50+L51)+'Cost Input'!$J46/100*L56</f>
        <v>292.81970411698637</v>
      </c>
      <c r="M54" s="125">
        <f ca="1">'Cost Input'!$J45/100*(M50+M51)+'Cost Input'!$J46/100*M56</f>
        <v>291.45746024525596</v>
      </c>
      <c r="N54" s="125">
        <f ca="1">'Cost Input'!$J45/100*(N50+N51)+'Cost Input'!$J46/100*N56</f>
        <v>290.77486335522275</v>
      </c>
      <c r="O54" s="125">
        <f ca="1">'Cost Input'!$J45/100*(O50+O51)+'Cost Input'!$J46/100*O56</f>
        <v>290.18732167316034</v>
      </c>
    </row>
    <row r="55" spans="1:15" x14ac:dyDescent="0.2">
      <c r="A55" s="7" t="s">
        <v>142</v>
      </c>
      <c r="B55" s="7"/>
      <c r="C55" s="7"/>
      <c r="D55" s="71"/>
      <c r="E55" s="71"/>
      <c r="F55" s="125">
        <f ca="1">F56*'Cost Input'!$J47/100</f>
        <v>342.11663661778022</v>
      </c>
      <c r="G55" s="125">
        <f ca="1">G56*'Cost Input'!$J47/100</f>
        <v>318.43543402243404</v>
      </c>
      <c r="H55" s="125">
        <f ca="1">H56*'Cost Input'!$J47/100</f>
        <v>302.96068768526158</v>
      </c>
      <c r="I55" s="125">
        <f ca="1">I56*'Cost Input'!$J47/100</f>
        <v>292.8564233735338</v>
      </c>
      <c r="J55" s="125">
        <f ca="1">J56*'Cost Input'!$J47/100</f>
        <v>286.71506643958276</v>
      </c>
      <c r="K55" s="125">
        <f ca="1">K56*'Cost Input'!$J47/100</f>
        <v>283.23947170367012</v>
      </c>
      <c r="L55" s="125">
        <f ca="1">L56*'Cost Input'!$J47/100</f>
        <v>282.246923862085</v>
      </c>
      <c r="M55" s="125">
        <f ca="1">M56*'Cost Input'!$J47/100</f>
        <v>280.74216259491226</v>
      </c>
      <c r="N55" s="125">
        <f ca="1">N56*'Cost Input'!$J47/100</f>
        <v>279.97045906564449</v>
      </c>
      <c r="O55" s="125">
        <f ca="1">O56*'Cost Input'!$J47/100</f>
        <v>279.30606639042128</v>
      </c>
    </row>
    <row r="56" spans="1:15" x14ac:dyDescent="0.2">
      <c r="A56" s="7" t="s">
        <v>143</v>
      </c>
      <c r="B56" s="7"/>
      <c r="C56" s="7"/>
      <c r="D56" s="71"/>
      <c r="E56" s="71"/>
      <c r="F56" s="125">
        <f ca="1">('Cost Input'!$J49/100*F24+'Cost Input'!$J50/100*F28)*1000000/'Manufacturing Cost Calculations'!F5</f>
        <v>855.29159154529407</v>
      </c>
      <c r="G56" s="125">
        <f ca="1">('Cost Input'!$J49/100*G24+'Cost Input'!$J50/100*G28)*1000000/'Manufacturing Cost Calculations'!G5</f>
        <v>796.08858505606963</v>
      </c>
      <c r="H56" s="125">
        <f ca="1">('Cost Input'!$J49/100*H24+'Cost Input'!$J50/100*H28)*1000000/'Manufacturing Cost Calculations'!H5</f>
        <v>757.40171921313004</v>
      </c>
      <c r="I56" s="125">
        <f ca="1">('Cost Input'!$J49/100*I24+'Cost Input'!$J50/100*I28)*1000000/'Manufacturing Cost Calculations'!I5</f>
        <v>732.14105843379514</v>
      </c>
      <c r="J56" s="125">
        <f ca="1">('Cost Input'!$J49/100*J24+'Cost Input'!$J50/100*J28)*1000000/'Manufacturing Cost Calculations'!J5</f>
        <v>716.78766609895081</v>
      </c>
      <c r="K56" s="125">
        <f ca="1">('Cost Input'!$J49/100*K24+'Cost Input'!$J50/100*K28)*1000000/'Manufacturing Cost Calculations'!K5</f>
        <v>708.09867925917536</v>
      </c>
      <c r="L56" s="125">
        <f ca="1">('Cost Input'!$J49/100*L24+'Cost Input'!$J50/100*L28)*1000000/'Manufacturing Cost Calculations'!L5</f>
        <v>705.61730965521258</v>
      </c>
      <c r="M56" s="125">
        <f ca="1">('Cost Input'!$J49/100*M24+'Cost Input'!$J50/100*M28)*1000000/'Manufacturing Cost Calculations'!M5</f>
        <v>701.85540648728067</v>
      </c>
      <c r="N56" s="125">
        <f ca="1">('Cost Input'!$J49/100*N24+'Cost Input'!$J50/100*N28)*1000000/'Manufacturing Cost Calculations'!N5</f>
        <v>699.92614766411123</v>
      </c>
      <c r="O56" s="125">
        <f ca="1">('Cost Input'!$J49/100*O24+'Cost Input'!$J50/100*O28)*1000000/'Manufacturing Cost Calculations'!O5</f>
        <v>698.26516597605314</v>
      </c>
    </row>
    <row r="57" spans="1:15" x14ac:dyDescent="0.2">
      <c r="A57" s="7" t="s">
        <v>144</v>
      </c>
      <c r="B57" s="7"/>
      <c r="C57" s="7"/>
      <c r="D57" s="71"/>
      <c r="E57" s="71"/>
      <c r="F57" s="93">
        <f t="shared" ref="F57:K57" ca="1" si="12">F54+F55+F56</f>
        <v>1560.3930274658533</v>
      </c>
      <c r="G57" s="93">
        <f t="shared" ca="1" si="12"/>
        <v>1450.0161114125083</v>
      </c>
      <c r="H57" s="93">
        <f t="shared" ca="1" si="12"/>
        <v>1377.678440437481</v>
      </c>
      <c r="I57" s="93">
        <f t="shared" ca="1" si="12"/>
        <v>1330.3357842077903</v>
      </c>
      <c r="J57" s="93">
        <f t="shared" ca="1" si="12"/>
        <v>1301.2996576085484</v>
      </c>
      <c r="K57" s="93">
        <f t="shared" ca="1" si="12"/>
        <v>1285.0363907790729</v>
      </c>
      <c r="L57" s="93">
        <f t="shared" ref="L57:O57" ca="1" si="13">L54+L55+L56</f>
        <v>1280.6839376342841</v>
      </c>
      <c r="M57" s="93">
        <f t="shared" ca="1" si="13"/>
        <v>1274.0550293274489</v>
      </c>
      <c r="N57" s="93">
        <f t="shared" ca="1" si="13"/>
        <v>1270.6714700849784</v>
      </c>
      <c r="O57" s="93">
        <f t="shared" ca="1" si="13"/>
        <v>1267.7585540396349</v>
      </c>
    </row>
    <row r="58" spans="1:15" x14ac:dyDescent="0.2">
      <c r="A58" s="7" t="s">
        <v>145</v>
      </c>
      <c r="B58" s="7"/>
      <c r="C58" s="7"/>
      <c r="D58" s="61"/>
      <c r="E58" s="71"/>
      <c r="F58" s="125">
        <f ca="1">'Cost Input'!$J51/100*F33*1000000/'Manufacturing Cost Calculations'!F5</f>
        <v>407.4424078087327</v>
      </c>
      <c r="G58" s="125">
        <f ca="1">'Cost Input'!$J51/100*G33*1000000/'Manufacturing Cost Calculations'!G5</f>
        <v>363.26786047863021</v>
      </c>
      <c r="H58" s="125">
        <f ca="1">'Cost Input'!$J51/100*H33*1000000/'Manufacturing Cost Calculations'!H5</f>
        <v>336.63183867919878</v>
      </c>
      <c r="I58" s="125">
        <f ca="1">'Cost Input'!$J51/100*I33*1000000/'Manufacturing Cost Calculations'!I5</f>
        <v>320.32437277083289</v>
      </c>
      <c r="J58" s="125">
        <f ca="1">'Cost Input'!$J51/100*J33*1000000/'Manufacturing Cost Calculations'!J5</f>
        <v>310.94540364892299</v>
      </c>
      <c r="K58" s="125">
        <f ca="1">'Cost Input'!$J51/100*K33*1000000/'Manufacturing Cost Calculations'!K5</f>
        <v>305.7291899821883</v>
      </c>
      <c r="L58" s="125">
        <f ca="1">'Cost Input'!$J51/100*L33*1000000/'Manufacturing Cost Calculations'!L5</f>
        <v>304.13999472142325</v>
      </c>
      <c r="M58" s="125">
        <f ca="1">'Cost Input'!$J51/100*M33*1000000/'Manufacturing Cost Calculations'!M5</f>
        <v>301.98957118394742</v>
      </c>
      <c r="N58" s="125">
        <f ca="1">'Cost Input'!$J51/100*N33*1000000/'Manufacturing Cost Calculations'!N5</f>
        <v>300.7799018390466</v>
      </c>
      <c r="O58" s="125">
        <f ca="1">'Cost Input'!$J51/100*O33*1000000/'Manufacturing Cost Calculations'!O5</f>
        <v>299.74170170269753</v>
      </c>
    </row>
    <row r="59" spans="1:15" x14ac:dyDescent="0.2">
      <c r="A59" s="252" t="s">
        <v>456</v>
      </c>
      <c r="B59" s="7"/>
      <c r="C59" s="7"/>
      <c r="D59" s="71"/>
      <c r="E59" s="71"/>
      <c r="F59" s="93">
        <f t="shared" ref="F59:K59" ca="1" si="14">F52+F57+F58</f>
        <v>11244.327427922824</v>
      </c>
      <c r="G59" s="93">
        <f t="shared" ca="1" si="14"/>
        <v>9021.1884792188357</v>
      </c>
      <c r="H59" s="93">
        <f t="shared" ca="1" si="14"/>
        <v>7785.378482872823</v>
      </c>
      <c r="I59" s="93">
        <f t="shared" ca="1" si="14"/>
        <v>7082.8750615001118</v>
      </c>
      <c r="J59" s="93">
        <f t="shared" ca="1" si="14"/>
        <v>6712.9089370603951</v>
      </c>
      <c r="K59" s="93">
        <f t="shared" ca="1" si="14"/>
        <v>6506.368297734145</v>
      </c>
      <c r="L59" s="93">
        <f t="shared" ref="L59:O59" ca="1" si="15">L52+L57+L58</f>
        <v>6429.4019943244029</v>
      </c>
      <c r="M59" s="93">
        <f t="shared" ca="1" si="15"/>
        <v>6340.0796645828596</v>
      </c>
      <c r="N59" s="93">
        <f t="shared" ca="1" si="15"/>
        <v>6282.8383664021731</v>
      </c>
      <c r="O59" s="93">
        <f t="shared" ca="1" si="15"/>
        <v>6233.8802857535156</v>
      </c>
    </row>
    <row r="60" spans="1:15" ht="15.75" x14ac:dyDescent="0.25">
      <c r="A60" s="18" t="s">
        <v>156</v>
      </c>
      <c r="B60" s="5"/>
      <c r="C60" s="5"/>
      <c r="D60" s="71"/>
      <c r="E60" s="71"/>
      <c r="F60" s="66"/>
      <c r="G60" s="66"/>
      <c r="H60" s="66"/>
      <c r="I60" s="66"/>
      <c r="J60" s="66"/>
      <c r="K60" s="66"/>
      <c r="L60" s="66"/>
      <c r="M60" s="66"/>
      <c r="N60" s="66"/>
      <c r="O60" s="66"/>
    </row>
    <row r="61" spans="1:15" x14ac:dyDescent="0.2">
      <c r="A61" s="7" t="s">
        <v>215</v>
      </c>
      <c r="B61" s="7"/>
      <c r="C61" s="7"/>
      <c r="E61" s="178"/>
      <c r="F61" s="93">
        <f t="shared" ref="F61:K61" ca="1" si="16">F37</f>
        <v>7280.6926588439683</v>
      </c>
      <c r="G61" s="93">
        <f t="shared" ca="1" si="16"/>
        <v>5300.2338672759552</v>
      </c>
      <c r="H61" s="93">
        <f t="shared" ca="1" si="16"/>
        <v>4219.6757903161661</v>
      </c>
      <c r="I61" s="93">
        <f t="shared" ca="1" si="16"/>
        <v>3619.3521892116582</v>
      </c>
      <c r="J61" s="93">
        <f t="shared" ca="1" si="16"/>
        <v>3304.7947481235924</v>
      </c>
      <c r="K61" s="93">
        <f t="shared" ca="1" si="16"/>
        <v>3138.401688260396</v>
      </c>
      <c r="L61" s="93">
        <f t="shared" ref="L61:O61" ca="1" si="17">L37</f>
        <v>3082.5682465835639</v>
      </c>
      <c r="M61" s="93">
        <f t="shared" ca="1" si="17"/>
        <v>3013.4604840174752</v>
      </c>
      <c r="N61" s="93">
        <f t="shared" ca="1" si="17"/>
        <v>2970.9537043341611</v>
      </c>
      <c r="O61" s="93">
        <f t="shared" ca="1" si="17"/>
        <v>2934.6211694468434</v>
      </c>
    </row>
    <row r="62" spans="1:15" x14ac:dyDescent="0.2">
      <c r="A62" s="252" t="s">
        <v>518</v>
      </c>
      <c r="B62" s="7"/>
      <c r="C62" s="7"/>
      <c r="E62" s="178"/>
      <c r="F62" s="93">
        <f t="shared" ref="F62:K62" ca="1" si="18">F38+F39+F40</f>
        <v>1399.1517281376059</v>
      </c>
      <c r="G62" s="93">
        <f t="shared" ca="1" si="18"/>
        <v>1361.790855771809</v>
      </c>
      <c r="H62" s="93">
        <f t="shared" ca="1" si="18"/>
        <v>1339.5299984967744</v>
      </c>
      <c r="I62" s="93">
        <f t="shared" ca="1" si="18"/>
        <v>1323.6505641418189</v>
      </c>
      <c r="J62" s="93">
        <f t="shared" ca="1" si="18"/>
        <v>1321.4690934982293</v>
      </c>
      <c r="K62" s="93">
        <f t="shared" ca="1" si="18"/>
        <v>1310.5067487067531</v>
      </c>
      <c r="L62" s="93">
        <f t="shared" ref="L62:O62" ca="1" si="19">L38+L39+L40</f>
        <v>1296.348308572399</v>
      </c>
      <c r="M62" s="93">
        <f t="shared" ca="1" si="19"/>
        <v>1286.6001455602445</v>
      </c>
      <c r="N62" s="93">
        <f t="shared" ca="1" si="19"/>
        <v>1277.259984387206</v>
      </c>
      <c r="O62" s="93">
        <f t="shared" ca="1" si="19"/>
        <v>1269.2747398477522</v>
      </c>
    </row>
    <row r="63" spans="1:15" x14ac:dyDescent="0.2">
      <c r="A63" s="7" t="s">
        <v>146</v>
      </c>
      <c r="B63" s="7"/>
      <c r="C63" s="7"/>
      <c r="E63" s="178"/>
      <c r="F63" s="93">
        <f t="shared" ref="F63:J64" ca="1" si="20">F50</f>
        <v>303.99234811269685</v>
      </c>
      <c r="G63" s="93">
        <f t="shared" ca="1" si="20"/>
        <v>276.18719090622596</v>
      </c>
      <c r="H63" s="93">
        <f t="shared" ca="1" si="20"/>
        <v>257.41576507183743</v>
      </c>
      <c r="I63" s="93">
        <f t="shared" ca="1" si="20"/>
        <v>244.84567105803202</v>
      </c>
      <c r="J63" s="93">
        <f t="shared" ca="1" si="20"/>
        <v>236.45892925807973</v>
      </c>
      <c r="K63" s="93">
        <f t="shared" ref="K63:L63" ca="1" si="21">K50</f>
        <v>232.196102967071</v>
      </c>
      <c r="L63" s="93">
        <f t="shared" ca="1" si="21"/>
        <v>231.81288920120761</v>
      </c>
      <c r="M63" s="93">
        <f t="shared" ref="M63:O63" ca="1" si="22">M50</f>
        <v>231.14525228306218</v>
      </c>
      <c r="N63" s="93">
        <f t="shared" ca="1" si="22"/>
        <v>230.84862587425539</v>
      </c>
      <c r="O63" s="93">
        <f t="shared" ca="1" si="22"/>
        <v>230.59363394384104</v>
      </c>
    </row>
    <row r="64" spans="1:15" x14ac:dyDescent="0.2">
      <c r="A64" s="7" t="s">
        <v>147</v>
      </c>
      <c r="B64" s="7"/>
      <c r="C64" s="7"/>
      <c r="E64" s="178"/>
      <c r="F64" s="93">
        <f t="shared" ca="1" si="20"/>
        <v>292.65525755396891</v>
      </c>
      <c r="G64" s="93">
        <f t="shared" ca="1" si="20"/>
        <v>269.69259337370738</v>
      </c>
      <c r="H64" s="93">
        <f t="shared" ca="1" si="20"/>
        <v>254.44664987136576</v>
      </c>
      <c r="I64" s="93">
        <f t="shared" ca="1" si="20"/>
        <v>244.3664801099797</v>
      </c>
      <c r="J64" s="93">
        <f t="shared" ca="1" si="20"/>
        <v>237.94110492302332</v>
      </c>
      <c r="K64" s="93">
        <f t="shared" ref="K64:L64" ca="1" si="23">K51</f>
        <v>234.4981770386635</v>
      </c>
      <c r="L64" s="93">
        <f t="shared" ca="1" si="23"/>
        <v>233.84861761152553</v>
      </c>
      <c r="M64" s="93">
        <f t="shared" ref="M64:O64" ca="1" si="24">M51</f>
        <v>232.82918221068101</v>
      </c>
      <c r="N64" s="93">
        <f t="shared" ca="1" si="24"/>
        <v>232.32467988252441</v>
      </c>
      <c r="O64" s="93">
        <f t="shared" ca="1" si="24"/>
        <v>231.89048677274707</v>
      </c>
    </row>
    <row r="65" spans="1:15" x14ac:dyDescent="0.2">
      <c r="A65" s="7" t="s">
        <v>141</v>
      </c>
      <c r="B65" s="7"/>
      <c r="C65" s="7"/>
      <c r="E65" s="178"/>
      <c r="F65" s="71">
        <f t="shared" ref="F65:J67" ca="1" si="25">F54</f>
        <v>362.98479930277909</v>
      </c>
      <c r="G65" s="71">
        <f t="shared" ca="1" si="25"/>
        <v>335.49209233400461</v>
      </c>
      <c r="H65" s="71">
        <f t="shared" ca="1" si="25"/>
        <v>317.31603353908929</v>
      </c>
      <c r="I65" s="71">
        <f t="shared" ca="1" si="25"/>
        <v>305.33830240046154</v>
      </c>
      <c r="J65" s="71">
        <f t="shared" ca="1" si="25"/>
        <v>297.79692507001499</v>
      </c>
      <c r="K65" s="71">
        <f t="shared" ref="K65:L65" ca="1" si="26">K54</f>
        <v>293.69823981622744</v>
      </c>
      <c r="L65" s="71">
        <f t="shared" ca="1" si="26"/>
        <v>292.81970411698637</v>
      </c>
      <c r="M65" s="71">
        <f t="shared" ref="M65:O65" ca="1" si="27">M54</f>
        <v>291.45746024525596</v>
      </c>
      <c r="N65" s="71">
        <f t="shared" ca="1" si="27"/>
        <v>290.77486335522275</v>
      </c>
      <c r="O65" s="71">
        <f t="shared" ca="1" si="27"/>
        <v>290.18732167316034</v>
      </c>
    </row>
    <row r="66" spans="1:15" x14ac:dyDescent="0.2">
      <c r="A66" s="7" t="s">
        <v>142</v>
      </c>
      <c r="B66" s="7"/>
      <c r="C66" s="7"/>
      <c r="E66" s="178"/>
      <c r="F66" s="93">
        <f t="shared" ca="1" si="25"/>
        <v>342.11663661778022</v>
      </c>
      <c r="G66" s="93">
        <f t="shared" ca="1" si="25"/>
        <v>318.43543402243404</v>
      </c>
      <c r="H66" s="93">
        <f t="shared" ca="1" si="25"/>
        <v>302.96068768526158</v>
      </c>
      <c r="I66" s="93">
        <f t="shared" ca="1" si="25"/>
        <v>292.8564233735338</v>
      </c>
      <c r="J66" s="93">
        <f t="shared" ca="1" si="25"/>
        <v>286.71506643958276</v>
      </c>
      <c r="K66" s="93">
        <f t="shared" ref="K66:L66" ca="1" si="28">K55</f>
        <v>283.23947170367012</v>
      </c>
      <c r="L66" s="93">
        <f t="shared" ca="1" si="28"/>
        <v>282.246923862085</v>
      </c>
      <c r="M66" s="93">
        <f t="shared" ref="M66:O66" ca="1" si="29">M55</f>
        <v>280.74216259491226</v>
      </c>
      <c r="N66" s="93">
        <f t="shared" ca="1" si="29"/>
        <v>279.97045906564449</v>
      </c>
      <c r="O66" s="93">
        <f t="shared" ca="1" si="29"/>
        <v>279.30606639042128</v>
      </c>
    </row>
    <row r="67" spans="1:15" x14ac:dyDescent="0.2">
      <c r="A67" s="7" t="s">
        <v>143</v>
      </c>
      <c r="B67" s="7"/>
      <c r="C67" s="7"/>
      <c r="E67" s="178"/>
      <c r="F67" s="93">
        <f t="shared" ca="1" si="25"/>
        <v>855.29159154529407</v>
      </c>
      <c r="G67" s="93">
        <f t="shared" ca="1" si="25"/>
        <v>796.08858505606963</v>
      </c>
      <c r="H67" s="93">
        <f t="shared" ca="1" si="25"/>
        <v>757.40171921313004</v>
      </c>
      <c r="I67" s="93">
        <f t="shared" ca="1" si="25"/>
        <v>732.14105843379514</v>
      </c>
      <c r="J67" s="93">
        <f t="shared" ca="1" si="25"/>
        <v>716.78766609895081</v>
      </c>
      <c r="K67" s="93">
        <f t="shared" ref="K67:L67" ca="1" si="30">K56</f>
        <v>708.09867925917536</v>
      </c>
      <c r="L67" s="93">
        <f t="shared" ca="1" si="30"/>
        <v>705.61730965521258</v>
      </c>
      <c r="M67" s="93">
        <f t="shared" ref="M67:O67" ca="1" si="31">M56</f>
        <v>701.85540648728067</v>
      </c>
      <c r="N67" s="93">
        <f t="shared" ca="1" si="31"/>
        <v>699.92614766411123</v>
      </c>
      <c r="O67" s="93">
        <f t="shared" ca="1" si="31"/>
        <v>698.26516597605314</v>
      </c>
    </row>
    <row r="68" spans="1:15" x14ac:dyDescent="0.2">
      <c r="A68" s="7" t="s">
        <v>148</v>
      </c>
      <c r="B68" s="7"/>
      <c r="C68" s="7"/>
      <c r="E68" s="178"/>
      <c r="F68" s="193">
        <f t="shared" ref="F68:K68" ca="1" si="32">F58</f>
        <v>407.4424078087327</v>
      </c>
      <c r="G68" s="193">
        <f t="shared" ca="1" si="32"/>
        <v>363.26786047863021</v>
      </c>
      <c r="H68" s="193">
        <f t="shared" ca="1" si="32"/>
        <v>336.63183867919878</v>
      </c>
      <c r="I68" s="193">
        <f t="shared" ca="1" si="32"/>
        <v>320.32437277083289</v>
      </c>
      <c r="J68" s="193">
        <f t="shared" ca="1" si="32"/>
        <v>310.94540364892299</v>
      </c>
      <c r="K68" s="193">
        <f t="shared" ca="1" si="32"/>
        <v>305.7291899821883</v>
      </c>
      <c r="L68" s="193">
        <f t="shared" ref="L68:O68" ca="1" si="33">L58</f>
        <v>304.13999472142325</v>
      </c>
      <c r="M68" s="193">
        <f t="shared" ca="1" si="33"/>
        <v>301.98957118394742</v>
      </c>
      <c r="N68" s="193">
        <f t="shared" ca="1" si="33"/>
        <v>300.7799018390466</v>
      </c>
      <c r="O68" s="193">
        <f t="shared" ca="1" si="33"/>
        <v>299.74170170269753</v>
      </c>
    </row>
    <row r="69" spans="1:15" x14ac:dyDescent="0.2">
      <c r="A69" s="252" t="s">
        <v>526</v>
      </c>
      <c r="B69" s="7"/>
      <c r="C69" s="7"/>
      <c r="E69" s="178"/>
      <c r="F69" s="94">
        <f ca="1">'Cost Input'!$J52/100*(SUM(F61:F68))</f>
        <v>629.68233596367816</v>
      </c>
      <c r="G69" s="94">
        <f ca="1">'Cost Input'!$J52/100*(SUM(G61:G68))</f>
        <v>505.18655483625486</v>
      </c>
      <c r="H69" s="94">
        <f ca="1">'Cost Input'!$J52/100*(SUM(H61:H68))</f>
        <v>435.98119504087799</v>
      </c>
      <c r="I69" s="94">
        <f ca="1">'Cost Input'!$J52/100*(SUM(I61:I68))</f>
        <v>396.64100344400634</v>
      </c>
      <c r="J69" s="94">
        <f ca="1">'Cost Input'!$J52/100*(SUM(J61:J68))</f>
        <v>375.92290047538216</v>
      </c>
      <c r="K69" s="94">
        <f ca="1">'Cost Input'!$J52/100*(SUM(K61:K68))</f>
        <v>364.35662467311215</v>
      </c>
      <c r="L69" s="94">
        <f ca="1">'Cost Input'!$J52/100*(SUM(L61:L68))</f>
        <v>360.04651168216651</v>
      </c>
      <c r="M69" s="94">
        <f ca="1">'Cost Input'!$J52/100*(SUM(M61:M68))</f>
        <v>355.04446121664006</v>
      </c>
      <c r="N69" s="94">
        <f ca="1">'Cost Input'!$J52/100*(SUM(N61:N68))</f>
        <v>351.83894851852165</v>
      </c>
      <c r="O69" s="94">
        <f ca="1">'Cost Input'!$J52/100*(SUM(O61:O68))</f>
        <v>349.09729600219686</v>
      </c>
    </row>
    <row r="70" spans="1:15" x14ac:dyDescent="0.2">
      <c r="A70" s="7" t="s">
        <v>417</v>
      </c>
      <c r="E70" s="178"/>
      <c r="F70" s="93">
        <f ca="1">SUM(F61:F69)</f>
        <v>11874.009763886505</v>
      </c>
      <c r="G70" s="93">
        <f t="shared" ref="G70:L70" ca="1" si="34">SUM(G61:G69)</f>
        <v>9526.3750340550923</v>
      </c>
      <c r="H70" s="93">
        <f t="shared" ca="1" si="34"/>
        <v>8221.3596779137006</v>
      </c>
      <c r="I70" s="93">
        <f t="shared" ca="1" si="34"/>
        <v>7479.5160649441195</v>
      </c>
      <c r="J70" s="93">
        <f t="shared" ca="1" si="34"/>
        <v>7088.8318375357785</v>
      </c>
      <c r="K70" s="93">
        <f t="shared" ca="1" si="34"/>
        <v>6870.7249224072584</v>
      </c>
      <c r="L70" s="93">
        <f t="shared" ca="1" si="34"/>
        <v>6789.448506006569</v>
      </c>
      <c r="M70" s="93">
        <f t="shared" ref="M70:O70" ca="1" si="35">SUM(M61:M69)</f>
        <v>6695.1241257994989</v>
      </c>
      <c r="N70" s="93">
        <f t="shared" ca="1" si="35"/>
        <v>6634.6773149206947</v>
      </c>
      <c r="O70" s="93">
        <f t="shared" ca="1" si="35"/>
        <v>6582.9775817557129</v>
      </c>
    </row>
    <row r="71" spans="1:15" x14ac:dyDescent="0.2">
      <c r="A71" s="252" t="s">
        <v>514</v>
      </c>
      <c r="F71" s="193">
        <f>'Manufacturing Cost Calculations'!F113</f>
        <v>475</v>
      </c>
      <c r="G71" s="193">
        <f>'Manufacturing Cost Calculations'!G113</f>
        <v>475</v>
      </c>
      <c r="H71" s="193">
        <f>'Manufacturing Cost Calculations'!H113</f>
        <v>475</v>
      </c>
      <c r="I71" s="193">
        <f>'Manufacturing Cost Calculations'!I113</f>
        <v>475</v>
      </c>
      <c r="J71" s="193">
        <f>'Manufacturing Cost Calculations'!J113</f>
        <v>475</v>
      </c>
      <c r="K71" s="193">
        <f>'Manufacturing Cost Calculations'!K113</f>
        <v>475</v>
      </c>
      <c r="L71" s="193">
        <f>'Manufacturing Cost Calculations'!L113</f>
        <v>475</v>
      </c>
      <c r="M71" s="193">
        <f>'Manufacturing Cost Calculations'!M113</f>
        <v>475</v>
      </c>
      <c r="N71" s="193">
        <f>'Manufacturing Cost Calculations'!N113</f>
        <v>475</v>
      </c>
      <c r="O71" s="193">
        <f>'Manufacturing Cost Calculations'!O113</f>
        <v>475</v>
      </c>
    </row>
    <row r="72" spans="1:15" x14ac:dyDescent="0.2">
      <c r="A72" s="252" t="s">
        <v>801</v>
      </c>
      <c r="F72" s="94">
        <f>'Manufacturing Cost Calculations'!F116</f>
        <v>1445</v>
      </c>
      <c r="G72" s="94">
        <f>'Manufacturing Cost Calculations'!G116</f>
        <v>1445</v>
      </c>
      <c r="H72" s="94">
        <f>'Manufacturing Cost Calculations'!H116</f>
        <v>1445</v>
      </c>
      <c r="I72" s="94">
        <f>'Manufacturing Cost Calculations'!I116</f>
        <v>1445</v>
      </c>
      <c r="J72" s="94">
        <f>'Manufacturing Cost Calculations'!J116</f>
        <v>1445</v>
      </c>
      <c r="K72" s="94">
        <f>'Manufacturing Cost Calculations'!K116</f>
        <v>1445</v>
      </c>
      <c r="L72" s="94">
        <f>'Manufacturing Cost Calculations'!L116</f>
        <v>1445</v>
      </c>
      <c r="M72" s="94">
        <f>'Manufacturing Cost Calculations'!M116</f>
        <v>1445</v>
      </c>
      <c r="N72" s="94">
        <f>'Manufacturing Cost Calculations'!N116</f>
        <v>1445</v>
      </c>
      <c r="O72" s="94">
        <f>'Manufacturing Cost Calculations'!O116</f>
        <v>1445</v>
      </c>
    </row>
    <row r="73" spans="1:15" x14ac:dyDescent="0.2">
      <c r="A73" s="252" t="s">
        <v>513</v>
      </c>
      <c r="F73" s="39">
        <f ca="1">(F70+F71)*'Battery Design'!F64+F72</f>
        <v>13794.009763886505</v>
      </c>
      <c r="G73" s="39">
        <f ca="1">(G70+G71)*'Battery Design'!G64+G72</f>
        <v>11446.375034055092</v>
      </c>
      <c r="H73" s="39">
        <f ca="1">(H70+H71)*'Battery Design'!H64+H72</f>
        <v>10141.359677913701</v>
      </c>
      <c r="I73" s="39">
        <f ca="1">(I70+I71)*'Battery Design'!I64+I72</f>
        <v>9399.5160649441204</v>
      </c>
      <c r="J73" s="39">
        <f ca="1">(J70+J71)*'Battery Design'!J64+J72</f>
        <v>9008.8318375357776</v>
      </c>
      <c r="K73" s="39">
        <f ca="1">(K70+K71)*'Battery Design'!K64+K72</f>
        <v>8790.7249224072584</v>
      </c>
      <c r="L73" s="39">
        <f ca="1">(L70+L71)*'Battery Design'!L64+L72</f>
        <v>8709.448506006569</v>
      </c>
      <c r="M73" s="39">
        <f ca="1">(M70+M71)*'Battery Design'!M64+M72</f>
        <v>8615.1241257994989</v>
      </c>
      <c r="N73" s="39">
        <f ca="1">(N70+N71)*'Battery Design'!N64+N72</f>
        <v>8554.6773149206947</v>
      </c>
      <c r="O73" s="39">
        <f ca="1">(O70+O71)*'Battery Design'!O64+O72</f>
        <v>8502.9775817557129</v>
      </c>
    </row>
    <row r="74" spans="1:15" x14ac:dyDescent="0.2">
      <c r="A74" s="252"/>
      <c r="F74" s="94"/>
      <c r="G74" s="94"/>
      <c r="H74" s="94"/>
      <c r="I74" s="94"/>
      <c r="J74" s="94"/>
      <c r="K74" s="94"/>
      <c r="L74" s="94"/>
      <c r="M74" s="94"/>
      <c r="N74" s="94"/>
      <c r="O74" s="94"/>
    </row>
    <row r="75" spans="1:15" x14ac:dyDescent="0.2">
      <c r="A75" s="252"/>
      <c r="F75" s="93"/>
      <c r="G75" s="93"/>
      <c r="H75" s="93"/>
      <c r="I75" s="93"/>
      <c r="J75" s="93"/>
      <c r="K75" s="93"/>
      <c r="L75" s="93"/>
      <c r="M75" s="93"/>
      <c r="N75" s="93"/>
      <c r="O75" s="93"/>
    </row>
    <row r="76" spans="1:15" x14ac:dyDescent="0.2">
      <c r="A76" s="7"/>
      <c r="F76" s="93"/>
      <c r="G76" s="93"/>
      <c r="H76" s="93"/>
      <c r="I76" s="93"/>
      <c r="J76" s="93"/>
      <c r="K76" s="93"/>
      <c r="L76" s="93"/>
      <c r="M76" s="93"/>
      <c r="N76" s="93"/>
      <c r="O76" s="93"/>
    </row>
    <row r="77" spans="1:15" x14ac:dyDescent="0.2">
      <c r="A77" s="260" t="s">
        <v>550</v>
      </c>
      <c r="F77" s="93"/>
      <c r="G77" s="93"/>
      <c r="H77" s="93"/>
      <c r="I77" s="93"/>
      <c r="J77" s="93"/>
      <c r="K77" s="93"/>
      <c r="L77" s="93"/>
      <c r="M77" s="93"/>
      <c r="N77" s="93"/>
      <c r="O77" s="93"/>
    </row>
    <row r="78" spans="1:15" x14ac:dyDescent="0.2">
      <c r="A78" s="252" t="s">
        <v>528</v>
      </c>
      <c r="F78" s="270">
        <v>20</v>
      </c>
      <c r="G78" s="270">
        <v>20</v>
      </c>
      <c r="H78" s="270">
        <v>20</v>
      </c>
      <c r="I78" s="270">
        <v>20</v>
      </c>
      <c r="J78" s="270">
        <v>20</v>
      </c>
      <c r="K78" s="270">
        <v>20</v>
      </c>
      <c r="L78" s="270">
        <v>20</v>
      </c>
      <c r="M78" s="270">
        <v>20</v>
      </c>
      <c r="N78" s="270">
        <v>20</v>
      </c>
      <c r="O78" s="270">
        <v>20</v>
      </c>
    </row>
    <row r="79" spans="1:15" x14ac:dyDescent="0.2">
      <c r="A79" s="260" t="s">
        <v>529</v>
      </c>
      <c r="F79" s="270">
        <v>10</v>
      </c>
      <c r="G79" s="270">
        <v>10</v>
      </c>
      <c r="H79" s="270">
        <v>10</v>
      </c>
      <c r="I79" s="270">
        <v>10</v>
      </c>
      <c r="J79" s="270">
        <v>10</v>
      </c>
      <c r="K79" s="270">
        <v>10</v>
      </c>
      <c r="L79" s="270">
        <v>10</v>
      </c>
      <c r="M79" s="270">
        <v>10</v>
      </c>
      <c r="N79" s="270">
        <v>10</v>
      </c>
      <c r="O79" s="270">
        <v>10</v>
      </c>
    </row>
    <row r="80" spans="1:15" x14ac:dyDescent="0.2">
      <c r="A80" s="263"/>
      <c r="F80" s="266"/>
      <c r="G80" s="266"/>
      <c r="H80" s="266"/>
      <c r="I80" s="266" t="str">
        <f ca="1">'Battery Design'!I75</f>
        <v xml:space="preserve"> </v>
      </c>
      <c r="J80" s="266" t="str">
        <f ca="1">'Battery Design'!J75</f>
        <v xml:space="preserve"> </v>
      </c>
      <c r="K80" s="266" t="str">
        <f ca="1">'Battery Design'!K75</f>
        <v xml:space="preserve"> </v>
      </c>
      <c r="L80" s="266" t="str">
        <f ca="1">'Battery Design'!L75</f>
        <v xml:space="preserve"> </v>
      </c>
      <c r="M80" s="266" t="str">
        <f ca="1">'Battery Design'!M75</f>
        <v xml:space="preserve"> </v>
      </c>
      <c r="N80" s="266" t="str">
        <f ca="1">'Battery Design'!N75</f>
        <v xml:space="preserve"> </v>
      </c>
      <c r="O80" s="266" t="str">
        <f ca="1">'Battery Design'!O75</f>
        <v xml:space="preserve"> </v>
      </c>
    </row>
    <row r="82" spans="1:30" x14ac:dyDescent="0.2">
      <c r="A82" s="252" t="s">
        <v>711</v>
      </c>
      <c r="F82" s="4">
        <f ca="1">'Battery Design'!F203</f>
        <v>3.9598584717562502</v>
      </c>
      <c r="G82" s="4">
        <f ca="1">'Battery Design'!G203</f>
        <v>6.8625229315143645</v>
      </c>
      <c r="H82" s="4">
        <f ca="1">'Battery Design'!H203</f>
        <v>11.354623744882272</v>
      </c>
      <c r="I82" s="4">
        <f ca="1">'Battery Design'!I203</f>
        <v>17.66414311174994</v>
      </c>
      <c r="J82" s="4">
        <f ca="1">'Battery Design'!J203</f>
        <v>25.990270466985166</v>
      </c>
      <c r="K82" s="4">
        <f ca="1">'Battery Design'!K203</f>
        <v>32.376959999999983</v>
      </c>
      <c r="L82" s="4">
        <f ca="1">'Battery Design'!L203</f>
        <v>32.376959999999976</v>
      </c>
      <c r="M82" s="4">
        <f ca="1">'Battery Design'!M203</f>
        <v>32.376960000000004</v>
      </c>
      <c r="N82" s="4">
        <f ca="1">'Battery Design'!N203</f>
        <v>32.376959999999997</v>
      </c>
      <c r="O82" s="4">
        <f ca="1">'Battery Design'!O203</f>
        <v>32.376960000000004</v>
      </c>
    </row>
    <row r="83" spans="1:30" x14ac:dyDescent="0.2">
      <c r="A83" s="252" t="s">
        <v>817</v>
      </c>
      <c r="F83" s="93">
        <f t="shared" ref="F83:O83" si="36">F71</f>
        <v>475</v>
      </c>
      <c r="G83" s="93">
        <f t="shared" si="36"/>
        <v>475</v>
      </c>
      <c r="H83" s="93">
        <f t="shared" si="36"/>
        <v>475</v>
      </c>
      <c r="I83" s="93">
        <f t="shared" si="36"/>
        <v>475</v>
      </c>
      <c r="J83" s="93">
        <f t="shared" si="36"/>
        <v>475</v>
      </c>
      <c r="K83" s="93">
        <f t="shared" si="36"/>
        <v>475</v>
      </c>
      <c r="L83" s="93">
        <f t="shared" si="36"/>
        <v>475</v>
      </c>
      <c r="M83" s="93">
        <f t="shared" si="36"/>
        <v>475</v>
      </c>
      <c r="N83" s="93">
        <f t="shared" si="36"/>
        <v>475</v>
      </c>
      <c r="O83" s="93">
        <f t="shared" si="36"/>
        <v>475</v>
      </c>
      <c r="R83" s="93"/>
      <c r="S83" s="93"/>
      <c r="T83" s="93"/>
      <c r="U83" s="93"/>
      <c r="V83" s="93"/>
      <c r="W83" s="93"/>
      <c r="X83" s="93"/>
      <c r="Y83" s="93"/>
      <c r="Z83" s="93"/>
      <c r="AA83" s="93"/>
      <c r="AB83" s="93"/>
      <c r="AC83" s="93"/>
      <c r="AD83" s="93"/>
    </row>
    <row r="84" spans="1:30" x14ac:dyDescent="0.2">
      <c r="A84" s="252" t="s">
        <v>818</v>
      </c>
      <c r="F84" s="93">
        <f t="shared" ref="F84:O84" si="37">F72</f>
        <v>1445</v>
      </c>
      <c r="G84" s="93">
        <f t="shared" si="37"/>
        <v>1445</v>
      </c>
      <c r="H84" s="93">
        <f t="shared" si="37"/>
        <v>1445</v>
      </c>
      <c r="I84" s="93">
        <f t="shared" si="37"/>
        <v>1445</v>
      </c>
      <c r="J84" s="93">
        <f t="shared" si="37"/>
        <v>1445</v>
      </c>
      <c r="K84" s="93">
        <f t="shared" si="37"/>
        <v>1445</v>
      </c>
      <c r="L84" s="93">
        <f t="shared" si="37"/>
        <v>1445</v>
      </c>
      <c r="M84" s="93">
        <f t="shared" si="37"/>
        <v>1445</v>
      </c>
      <c r="N84" s="93">
        <f t="shared" si="37"/>
        <v>1445</v>
      </c>
      <c r="O84" s="93">
        <f t="shared" si="37"/>
        <v>1445</v>
      </c>
      <c r="R84" s="93"/>
      <c r="S84" s="93"/>
      <c r="T84" s="93"/>
      <c r="U84" s="93"/>
      <c r="V84" s="93"/>
      <c r="W84" s="93"/>
      <c r="X84" s="93"/>
      <c r="Y84" s="93"/>
      <c r="Z84" s="93"/>
      <c r="AA84" s="93"/>
    </row>
    <row r="85" spans="1:30" ht="15.75" customHeight="1" x14ac:dyDescent="0.2">
      <c r="A85" s="252" t="s">
        <v>518</v>
      </c>
      <c r="F85" s="93">
        <f ca="1">F62</f>
        <v>1399.1517281376059</v>
      </c>
      <c r="G85" s="93">
        <f t="shared" ref="G85:O85" ca="1" si="38">G62</f>
        <v>1361.790855771809</v>
      </c>
      <c r="H85" s="93">
        <f t="shared" ca="1" si="38"/>
        <v>1339.5299984967744</v>
      </c>
      <c r="I85" s="93">
        <f t="shared" ca="1" si="38"/>
        <v>1323.6505641418189</v>
      </c>
      <c r="J85" s="93">
        <f t="shared" ca="1" si="38"/>
        <v>1321.4690934982293</v>
      </c>
      <c r="K85" s="93">
        <f t="shared" ca="1" si="38"/>
        <v>1310.5067487067531</v>
      </c>
      <c r="L85" s="93">
        <f t="shared" ca="1" si="38"/>
        <v>1296.348308572399</v>
      </c>
      <c r="M85" s="93">
        <f t="shared" ca="1" si="38"/>
        <v>1286.6001455602445</v>
      </c>
      <c r="N85" s="93">
        <f t="shared" ca="1" si="38"/>
        <v>1277.259984387206</v>
      </c>
      <c r="O85" s="93">
        <f t="shared" ca="1" si="38"/>
        <v>1269.2747398477522</v>
      </c>
      <c r="R85" s="93"/>
      <c r="S85" s="93"/>
      <c r="T85" s="93"/>
      <c r="U85" s="93"/>
      <c r="V85" s="93"/>
      <c r="W85" s="93"/>
      <c r="X85" s="93"/>
      <c r="Y85" s="93"/>
      <c r="Z85" s="93"/>
      <c r="AA85" s="93"/>
    </row>
    <row r="86" spans="1:30" x14ac:dyDescent="0.2">
      <c r="A86" s="252" t="s">
        <v>819</v>
      </c>
      <c r="F86" s="93">
        <f ca="1">F73-SUM(F83:F85,F87)</f>
        <v>3194.1653769261848</v>
      </c>
      <c r="G86" s="93">
        <f t="shared" ref="G86:O86" ca="1" si="39">G73-SUM(G83:G85,G87)</f>
        <v>2864.3503110067777</v>
      </c>
      <c r="H86" s="93">
        <f t="shared" ca="1" si="39"/>
        <v>2662.1538890999727</v>
      </c>
      <c r="I86" s="93">
        <f t="shared" ca="1" si="39"/>
        <v>2536.5133115893113</v>
      </c>
      <c r="J86" s="93">
        <f t="shared" ca="1" si="39"/>
        <v>2462.5679959136214</v>
      </c>
      <c r="K86" s="93">
        <f t="shared" ca="1" si="39"/>
        <v>2421.8164854402103</v>
      </c>
      <c r="L86" s="93">
        <f t="shared" ca="1" si="39"/>
        <v>2410.5319508506982</v>
      </c>
      <c r="M86" s="93">
        <f t="shared" ca="1" si="39"/>
        <v>2395.0634962217791</v>
      </c>
      <c r="N86" s="93">
        <f t="shared" ca="1" si="39"/>
        <v>2386.4636261993273</v>
      </c>
      <c r="O86" s="93">
        <f t="shared" ca="1" si="39"/>
        <v>2379.0816724611177</v>
      </c>
      <c r="R86" s="93"/>
      <c r="S86" s="93"/>
      <c r="T86" s="93"/>
      <c r="U86" s="93"/>
      <c r="V86" s="93"/>
      <c r="W86" s="93"/>
      <c r="X86" s="93"/>
      <c r="Y86" s="93"/>
      <c r="Z86" s="93"/>
      <c r="AA86" s="93"/>
    </row>
    <row r="87" spans="1:30" x14ac:dyDescent="0.2">
      <c r="A87" s="7" t="s">
        <v>215</v>
      </c>
      <c r="F87" s="93">
        <f t="shared" ref="F87:O87" ca="1" si="40">F61</f>
        <v>7280.6926588439683</v>
      </c>
      <c r="G87" s="93">
        <f t="shared" ca="1" si="40"/>
        <v>5300.2338672759552</v>
      </c>
      <c r="H87" s="93">
        <f t="shared" ca="1" si="40"/>
        <v>4219.6757903161661</v>
      </c>
      <c r="I87" s="93">
        <f t="shared" ca="1" si="40"/>
        <v>3619.3521892116582</v>
      </c>
      <c r="J87" s="93">
        <f t="shared" ca="1" si="40"/>
        <v>3304.7947481235924</v>
      </c>
      <c r="K87" s="93">
        <f t="shared" ca="1" si="40"/>
        <v>3138.401688260396</v>
      </c>
      <c r="L87" s="93">
        <f t="shared" ca="1" si="40"/>
        <v>3082.5682465835639</v>
      </c>
      <c r="M87" s="93">
        <f t="shared" ca="1" si="40"/>
        <v>3013.4604840174752</v>
      </c>
      <c r="N87" s="93">
        <f t="shared" ca="1" si="40"/>
        <v>2970.9537043341611</v>
      </c>
      <c r="O87" s="93">
        <f t="shared" ca="1" si="40"/>
        <v>2934.6211694468434</v>
      </c>
      <c r="R87" s="93"/>
      <c r="S87" s="93"/>
      <c r="T87" s="93"/>
      <c r="U87" s="93"/>
      <c r="V87" s="93"/>
      <c r="W87" s="93"/>
      <c r="X87" s="93"/>
      <c r="Y87" s="93"/>
      <c r="Z87" s="93"/>
      <c r="AA87" s="93"/>
    </row>
    <row r="88" spans="1:30" x14ac:dyDescent="0.2">
      <c r="A88" s="7"/>
    </row>
    <row r="89" spans="1:30" x14ac:dyDescent="0.2">
      <c r="A89" s="7"/>
      <c r="D89" s="252" t="s">
        <v>844</v>
      </c>
      <c r="F89" s="39">
        <f ca="1">('Cost Breakdown'!F21/'Battery Design'!F202)+('Battery Design'!F216-'Battery Design'!F215)</f>
        <v>33.28450347612872</v>
      </c>
      <c r="G89" s="39">
        <f ca="1">('Cost Breakdown'!G21/'Battery Design'!G202)+('Battery Design'!G216-'Battery Design'!G215)</f>
        <v>33.276558177139748</v>
      </c>
      <c r="H89" s="500">
        <f ca="1">('Cost Breakdown'!H21/'Battery Design'!H202)+('Battery Design'!H216-'Battery Design'!H215)</f>
        <v>33.265155521146326</v>
      </c>
      <c r="I89" s="451">
        <f ca="1">('Cost Breakdown'!I21/'Battery Design'!I202)+('Battery Design'!I216-'Battery Design'!I215)</f>
        <v>33.24971845223827</v>
      </c>
      <c r="J89" s="39">
        <f ca="1">('Cost Breakdown'!J21/'Battery Design'!J202)+('Battery Design'!J216-'Battery Design'!J215)</f>
        <v>33.267802602694573</v>
      </c>
      <c r="K89" s="39">
        <f ca="1">('Cost Breakdown'!K21/'Battery Design'!K202)+('Battery Design'!K216-'Battery Design'!K215)</f>
        <v>32.677844695610929</v>
      </c>
      <c r="L89" s="39">
        <f ca="1">('Cost Breakdown'!L21/'Battery Design'!L202)+('Battery Design'!L216-'Battery Design'!L215)</f>
        <v>31.381654431683216</v>
      </c>
      <c r="M89" s="39">
        <f ca="1">('Cost Breakdown'!M21/'Battery Design'!M202)+('Battery Design'!M216-'Battery Design'!M215)</f>
        <v>31.073446185419755</v>
      </c>
      <c r="N89" s="39">
        <f ca="1">('Cost Breakdown'!N21/'Battery Design'!N202)+('Battery Design'!N216-'Battery Design'!N215)</f>
        <v>30.191467002345163</v>
      </c>
      <c r="O89" s="39">
        <f ca="1">('Cost Breakdown'!O21/'Battery Design'!O202)+('Battery Design'!O216-'Battery Design'!O215)</f>
        <v>29.441996715917497</v>
      </c>
    </row>
    <row r="90" spans="1:30" x14ac:dyDescent="0.2">
      <c r="A90" s="252"/>
      <c r="D90" s="252" t="s">
        <v>845</v>
      </c>
      <c r="F90" s="39">
        <f ca="1">'Cost Breakdown'!F22/'Battery Design'!F202</f>
        <v>20.956753923269176</v>
      </c>
      <c r="G90" s="39">
        <f ca="1">'Cost Breakdown'!G22/'Battery Design'!G202</f>
        <v>20.896538424188833</v>
      </c>
      <c r="H90" s="500">
        <f ca="1">'Cost Breakdown'!H22/'Battery Design'!H202</f>
        <v>20.810107020624557</v>
      </c>
      <c r="I90" s="451">
        <f ca="1">'Cost Breakdown'!I22/'Battery Design'!I202</f>
        <v>20.69306966463774</v>
      </c>
      <c r="J90" s="39">
        <f ca="1">'Cost Breakdown'!J22/'Battery Design'!J202</f>
        <v>20.830173144240803</v>
      </c>
      <c r="K90" s="39">
        <f ca="1">'Cost Breakdown'!K22/'Battery Design'!K202</f>
        <v>20.658582612933856</v>
      </c>
      <c r="L90" s="39">
        <f ca="1">'Cost Breakdown'!L22/'Battery Design'!L202</f>
        <v>20.26201152940018</v>
      </c>
      <c r="M90" s="39">
        <f ca="1">'Cost Breakdown'!M22/'Battery Design'!M202</f>
        <v>19.945880134817788</v>
      </c>
      <c r="N90" s="39">
        <f ca="1">'Cost Breakdown'!N22/'Battery Design'!N202</f>
        <v>19.643111001337875</v>
      </c>
      <c r="O90" s="39">
        <f ca="1">'Cost Breakdown'!O22/'Battery Design'!O202</f>
        <v>19.386076252470879</v>
      </c>
    </row>
    <row r="91" spans="1:30" x14ac:dyDescent="0.2">
      <c r="D91" s="252" t="s">
        <v>846</v>
      </c>
      <c r="F91" s="39">
        <f ca="1">SUM('Cost Breakdown'!F23:F27)/'Battery Design'!F202</f>
        <v>51.721726842846444</v>
      </c>
      <c r="G91" s="39">
        <f ca="1">SUM('Cost Breakdown'!G23:G27)/'Battery Design'!G202</f>
        <v>31.999663841357197</v>
      </c>
      <c r="H91" s="500">
        <f ca="1">SUM('Cost Breakdown'!H23:H27)/'Battery Design'!H202</f>
        <v>21.287722165844261</v>
      </c>
      <c r="I91" s="451">
        <f ca="1">SUM('Cost Breakdown'!I23:I27)/'Battery Design'!I202</f>
        <v>15.398841239931405</v>
      </c>
      <c r="J91" s="39">
        <f ca="1">SUM('Cost Breakdown'!J23:J27)/'Battery Design'!J202</f>
        <v>12.142918295005604</v>
      </c>
      <c r="K91" s="39">
        <f ca="1">SUM('Cost Breakdown'!K23:K27)/'Battery Design'!K202</f>
        <v>10.633044852014448</v>
      </c>
      <c r="L91" s="39">
        <f ca="1">SUM('Cost Breakdown'!L23:L27)/'Battery Design'!L202</f>
        <v>10.420279778500703</v>
      </c>
      <c r="M91" s="39">
        <f ca="1">SUM('Cost Breakdown'!M23:M27)/'Battery Design'!M202</f>
        <v>10.260621474733499</v>
      </c>
      <c r="N91" s="39">
        <f ca="1">SUM('Cost Breakdown'!N23:N27)/'Battery Design'!N202</f>
        <v>10.098303324067027</v>
      </c>
      <c r="O91" s="39">
        <f ca="1">SUM('Cost Breakdown'!O23:O27)/'Battery Design'!O202</f>
        <v>9.9605514509953057</v>
      </c>
    </row>
    <row r="92" spans="1:30" x14ac:dyDescent="0.2">
      <c r="D92" s="252" t="s">
        <v>518</v>
      </c>
      <c r="F92" s="39">
        <f ca="1">F62/'Battery Design'!F$202</f>
        <v>13.966833476867643</v>
      </c>
      <c r="G92" s="39">
        <f ca="1">G62/'Battery Design'!G$202</f>
        <v>13.590638895203719</v>
      </c>
      <c r="H92" s="500">
        <f ca="1">H62/'Battery Design'!H$202</f>
        <v>13.363895206423628</v>
      </c>
      <c r="I92" s="451">
        <f ca="1">I62/'Battery Design'!I$202</f>
        <v>13.19934500217698</v>
      </c>
      <c r="J92" s="39">
        <f ca="1">J62/'Battery Design'!J$202</f>
        <v>13.184758683968242</v>
      </c>
      <c r="K92" s="39">
        <f ca="1">K62/'Battery Design'!K$202</f>
        <v>13.066488309711197</v>
      </c>
      <c r="L92" s="39">
        <f ca="1">L62/'Battery Design'!L$202</f>
        <v>12.90318113287705</v>
      </c>
      <c r="M92" s="39">
        <f ca="1">M62/'Battery Design'!M$202</f>
        <v>12.896697857442044</v>
      </c>
      <c r="N92" s="39">
        <f ca="1">N62/'Battery Design'!N$202</f>
        <v>12.786304391583817</v>
      </c>
      <c r="O92" s="39">
        <f ca="1">O62/'Battery Design'!O$202</f>
        <v>12.692927329610672</v>
      </c>
    </row>
    <row r="93" spans="1:30" x14ac:dyDescent="0.2">
      <c r="D93" s="252" t="s">
        <v>817</v>
      </c>
      <c r="F93" s="39">
        <f ca="1">F71/'Battery Design'!F$202</f>
        <v>4.7416200602795922</v>
      </c>
      <c r="G93" s="39">
        <f ca="1">G71/'Battery Design'!G$202</f>
        <v>4.7404881945421904</v>
      </c>
      <c r="H93" s="500">
        <f ca="1">H71/'Battery Design'!H$202</f>
        <v>4.7388638031061676</v>
      </c>
      <c r="I93" s="451">
        <f ca="1">I71/'Battery Design'!I$202</f>
        <v>4.7366646801521828</v>
      </c>
      <c r="J93" s="39">
        <f ca="1">J71/'Battery Design'!J$202</f>
        <v>4.7392408991616772</v>
      </c>
      <c r="K93" s="39">
        <f ca="1">K71/'Battery Design'!K$202</f>
        <v>4.736016776134619</v>
      </c>
      <c r="L93" s="39">
        <f ca="1">L71/'Battery Design'!L$202</f>
        <v>4.7279045281172625</v>
      </c>
      <c r="M93" s="39">
        <f ca="1">M71/'Battery Design'!M$202</f>
        <v>4.7613328067963652</v>
      </c>
      <c r="N93" s="39">
        <f ca="1">N71/'Battery Design'!N$202</f>
        <v>4.7550965819352804</v>
      </c>
      <c r="O93" s="39">
        <f ca="1">O71/'Battery Design'!O$202</f>
        <v>4.7500673355307272</v>
      </c>
    </row>
    <row r="94" spans="1:30" x14ac:dyDescent="0.2">
      <c r="D94" s="252" t="s">
        <v>819</v>
      </c>
      <c r="F94" s="39">
        <f ca="1">SUM(F63:F69)/'Battery Design'!F$202</f>
        <v>31.885302372595671</v>
      </c>
      <c r="G94" s="39">
        <f ca="1">SUM(G63:G69)/'Battery Design'!G$202</f>
        <v>28.586144914449434</v>
      </c>
      <c r="H94" s="500">
        <f ca="1">SUM(H63:H69)/'Battery Design'!H$202</f>
        <v>26.559125691279803</v>
      </c>
      <c r="I94" s="451">
        <f ca="1">SUM(I63:I69)/'Battery Design'!I$202</f>
        <v>25.293922134204717</v>
      </c>
      <c r="J94" s="39">
        <f ca="1">SUM(J63:J69)/'Battery Design'!J$202</f>
        <v>24.569900975162167</v>
      </c>
      <c r="K94" s="39">
        <f ca="1">SUM(K63:K69)/'Battery Design'!K$202</f>
        <v>24.14687053423944</v>
      </c>
      <c r="L94" s="39">
        <f ca="1">SUM(L63:L69)/'Battery Design'!L$202</f>
        <v>23.993189317048255</v>
      </c>
      <c r="M94" s="39">
        <f ca="1">SUM(M63:M69)/'Battery Design'!M$202</f>
        <v>24.007777681939285</v>
      </c>
      <c r="N94" s="39">
        <f ca="1">SUM(N63:N69)/'Battery Design'!N$202</f>
        <v>23.890242172322722</v>
      </c>
      <c r="O94" s="39">
        <f ca="1">SUM(O63:O69)/'Battery Design'!O$202</f>
        <v>23.791153980878665</v>
      </c>
    </row>
    <row r="95" spans="1:30" x14ac:dyDescent="0.2">
      <c r="D95" s="252" t="s">
        <v>847</v>
      </c>
      <c r="F95" s="39">
        <f ca="1">F72/'Battery Design'!F$202</f>
        <v>14.424507341271603</v>
      </c>
      <c r="G95" s="39">
        <f ca="1">G72/'Battery Design'!G$202</f>
        <v>14.421064086554662</v>
      </c>
      <c r="H95" s="500">
        <f ca="1">H72/'Battery Design'!H$202</f>
        <v>14.41612251681771</v>
      </c>
      <c r="I95" s="451">
        <f ca="1">I72/'Battery Design'!I$202</f>
        <v>14.409432553305063</v>
      </c>
      <c r="J95" s="39">
        <f ca="1">J72/'Battery Design'!J$202</f>
        <v>14.417269682712893</v>
      </c>
      <c r="K95" s="39">
        <f ca="1">K72/'Battery Design'!K$202</f>
        <v>14.40746156108321</v>
      </c>
      <c r="L95" s="39">
        <f ca="1">L72/'Battery Design'!L$202</f>
        <v>14.382783248693565</v>
      </c>
      <c r="M95" s="39">
        <f ca="1">M72/'Battery Design'!M$202</f>
        <v>14.484475591201573</v>
      </c>
      <c r="N95" s="39">
        <f ca="1">N72/'Battery Design'!N$202</f>
        <v>14.465504338729433</v>
      </c>
      <c r="O95" s="39">
        <f ca="1">O72/'Battery Design'!O$202</f>
        <v>14.450204841772422</v>
      </c>
    </row>
  </sheetData>
  <mergeCells count="2">
    <mergeCell ref="A1:L1"/>
    <mergeCell ref="A2:L2"/>
  </mergeCells>
  <phoneticPr fontId="6" type="noConversion"/>
  <pageMargins left="0.5" right="0.5" top="0.5" bottom="0.5" header="0.5" footer="0.5"/>
  <pageSetup orientation="portrait" r:id="rId1"/>
  <headerFooter alignWithMargins="0">
    <oddFooter>&amp;C &amp;P&amp;R&amp;F, &amp;D</oddFooter>
  </headerFooter>
  <rowBreaks count="2" manualBreakCount="2">
    <brk id="33" max="11" man="1"/>
    <brk id="59" max="11" man="1"/>
  </row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About this model</vt:lpstr>
      <vt:lpstr>About BatPaC</vt:lpstr>
      <vt:lpstr>Chem</vt:lpstr>
      <vt:lpstr>Iterative I-V</vt:lpstr>
      <vt:lpstr>IV-thickness</vt:lpstr>
      <vt:lpstr>Flow and System</vt:lpstr>
      <vt:lpstr>Components</vt:lpstr>
      <vt:lpstr>Battery Design</vt:lpstr>
      <vt:lpstr>Summary of Results</vt:lpstr>
      <vt:lpstr>Cost Input</vt:lpstr>
      <vt:lpstr>Manufacturing Cost Calculations</vt:lpstr>
      <vt:lpstr>Cost Breakdown</vt:lpstr>
      <vt:lpstr>'About BatPaC'!Print_Area</vt:lpstr>
      <vt:lpstr>'Battery Design'!Print_Area</vt:lpstr>
      <vt:lpstr>Chem!Print_Area</vt:lpstr>
      <vt:lpstr>'Cost Breakdown'!Print_Area</vt:lpstr>
      <vt:lpstr>'Cost Input'!Print_Area</vt:lpstr>
      <vt:lpstr>'Manufacturing Cost Calculations'!Print_Area</vt:lpstr>
      <vt:lpstr>'Summary of Results'!Print_Area</vt:lpstr>
      <vt:lpstr>'Battery Design'!Print_Titles</vt:lpstr>
      <vt:lpstr>Chem!Print_Titles</vt:lpstr>
      <vt:lpstr>'Manufacturing Cost Calculations'!Print_Titles</vt:lpstr>
      <vt:lpstr>'Summary of Results'!Print_Titles</vt:lpstr>
    </vt:vector>
  </TitlesOfParts>
  <Company>Argonne National Laboratory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dc:creator>
  <cp:lastModifiedBy>Gallagher, Kevin G.</cp:lastModifiedBy>
  <cp:lastPrinted>2013-07-23T16:39:02Z</cp:lastPrinted>
  <dcterms:created xsi:type="dcterms:W3CDTF">2007-05-30T17:44:54Z</dcterms:created>
  <dcterms:modified xsi:type="dcterms:W3CDTF">2014-02-10T21:59:40Z</dcterms:modified>
</cp:coreProperties>
</file>